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2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S:\Gda\Gda\Buchhaltung\Budget\Budget 2022\"/>
    </mc:Choice>
  </mc:AlternateContent>
  <xr:revisionPtr revIDLastSave="0" documentId="13_ncr:1_{76A5D91D-84F6-4766-B660-6D8AC0F5BE30}" xr6:coauthVersionLast="47" xr6:coauthVersionMax="47" xr10:uidLastSave="{00000000-0000-0000-0000-000000000000}"/>
  <bookViews>
    <workbookView xWindow="-120" yWindow="-120" windowWidth="29040" windowHeight="17640" tabRatio="925" firstSheet="7" activeTab="9" xr2:uid="{00000000-000D-0000-FFFF-FFFF00000000}"/>
  </bookViews>
  <sheets>
    <sheet name="Titelblatt" sheetId="32" r:id="rId1"/>
    <sheet name="F0a Konfiguration" sheetId="55" r:id="rId2"/>
    <sheet name="F0b Planungsparameter" sheetId="1" r:id="rId3"/>
    <sheet name="F1a Ausgangsbilanz" sheetId="45" r:id="rId4"/>
    <sheet name="F1b Budget Aktuell" sheetId="40" r:id="rId5"/>
    <sheet name="F1c Budget Neu" sheetId="46" r:id="rId6"/>
    <sheet name="F2 Weiterführung ER" sheetId="47" r:id="rId7"/>
    <sheet name="F3 Änderungen ER" sheetId="56" r:id="rId8"/>
    <sheet name="F3a Änderungen Verrechnungen" sheetId="6" r:id="rId9"/>
    <sheet name="F4 Investitionsplanung VV" sheetId="7" r:id="rId10"/>
    <sheet name="F4a Zusammenzug Investitionen" sheetId="61" r:id="rId11"/>
    <sheet name="F5a Zinsänderungen" sheetId="26" r:id="rId12"/>
    <sheet name="F5b DELTA ER" sheetId="57" r:id="rId13"/>
    <sheet name="F5c Prognose Bilanz" sheetId="52" r:id="rId14"/>
    <sheet name="F5 Prognose ER" sheetId="58" r:id="rId15"/>
    <sheet name="F6 Kennzahlen" sheetId="19" r:id="rId16"/>
    <sheet name="F7 Grafiken" sheetId="27" r:id="rId17"/>
    <sheet name="F7a Grafiken Verordnung" sheetId="15" r:id="rId18"/>
    <sheet name="F8 Spezialfinanzierung" sheetId="60" r:id="rId19"/>
    <sheet name="Listen für Dropdown" sheetId="53" r:id="rId20"/>
    <sheet name="Tabelle1" sheetId="54" r:id="rId21"/>
  </sheets>
  <definedNames>
    <definedName name="Budget1">'F0b Planungsparameter'!$M$9</definedName>
    <definedName name="Budget2">'F0b Planungsparameter'!$M$10</definedName>
    <definedName name="_xlnm.Print_Area" localSheetId="2">'F0b Planungsparameter'!$B$1:$M$60</definedName>
    <definedName name="_xlnm.Print_Area" localSheetId="4">'F1b Budget Aktuell'!$B$1:$N$67</definedName>
    <definedName name="_xlnm.Print_Area" localSheetId="5">'F1c Budget Neu'!$B$1:$N$67</definedName>
    <definedName name="_xlnm.Print_Area" localSheetId="6">'F2 Weiterführung ER'!$B$1:$BK$68</definedName>
    <definedName name="_xlnm.Print_Area" localSheetId="7">'F3 Änderungen ER'!$B$1:$I$58</definedName>
    <definedName name="_xlnm.Print_Area" localSheetId="8">'F3a Änderungen Verrechnungen'!$B$1:$I$55</definedName>
    <definedName name="_xlnm.Print_Area" localSheetId="9">'F4 Investitionsplanung VV'!$A$3:$O$86</definedName>
    <definedName name="_xlnm.Print_Area" localSheetId="10">'F4a Zusammenzug Investitionen'!$B$1:$J$34</definedName>
    <definedName name="_xlnm.Print_Area" localSheetId="14">'F5 Prognose ER'!$B$1:$BJ$78</definedName>
    <definedName name="_xlnm.Print_Area" localSheetId="11">'F5a Zinsänderungen'!$B$1:$M$63</definedName>
    <definedName name="_xlnm.Print_Area" localSheetId="12">'F5b DELTA ER'!$B$1:$BJ$68</definedName>
    <definedName name="_xlnm.Print_Area" localSheetId="13">'F5c Prognose Bilanz'!$B$1:$L$66</definedName>
    <definedName name="_xlnm.Print_Area" localSheetId="15">'F6 Kennzahlen'!$B$1:$P$48</definedName>
    <definedName name="_xlnm.Print_Area" localSheetId="16">'F7 Grafiken'!$A$1:$J$513</definedName>
    <definedName name="_xlnm.Print_Area" localSheetId="17">'F7a Grafiken Verordnung'!$A$1:$J$256</definedName>
    <definedName name="_xlnm.Print_Area" localSheetId="18">'F8 Spezialfinanzierung'!$A$1:$M$59</definedName>
    <definedName name="_xlnm.Print_Titles" localSheetId="3">'F1a Ausgangsbilanz'!$A:$H,'F1a Ausgangsbilanz'!$1:$6</definedName>
    <definedName name="_xlnm.Print_Titles" localSheetId="4">'F1b Budget Aktuell'!$B:$H</definedName>
    <definedName name="_xlnm.Print_Titles" localSheetId="5">'F1c Budget Neu'!$B:$H</definedName>
    <definedName name="_xlnm.Print_Titles" localSheetId="6">'F2 Weiterführung ER'!$B:$F</definedName>
    <definedName name="_xlnm.Print_Titles" localSheetId="7">'F3 Änderungen ER'!$1:$13</definedName>
    <definedName name="_xlnm.Print_Titles" localSheetId="9">'F4 Investitionsplanung VV'!$B:$H,'F4 Investitionsplanung VV'!$1:$15</definedName>
    <definedName name="_xlnm.Print_Titles" localSheetId="14">'F5 Prognose ER'!$B:$F</definedName>
    <definedName name="_xlnm.Print_Titles" localSheetId="12">'F5b DELTA ER'!$B:$F</definedName>
    <definedName name="Finz1">'F0b Planungsparameter'!$M$6</definedName>
    <definedName name="Gemeinde">'F0b Planungsparameter'!$E$6</definedName>
    <definedName name="Rech">'F0b Planungsparameter'!$M$8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45" i="19" l="1"/>
  <c r="H44" i="19"/>
  <c r="N59" i="58"/>
  <c r="I31" i="19"/>
  <c r="F77" i="7"/>
  <c r="S77" i="7"/>
  <c r="T77" i="7" s="1"/>
  <c r="U77" i="7" s="1"/>
  <c r="V77" i="7" s="1"/>
  <c r="R77" i="7"/>
  <c r="P77" i="7"/>
  <c r="P58" i="7"/>
  <c r="F58" i="7"/>
  <c r="P57" i="7"/>
  <c r="F57" i="7"/>
  <c r="P76" i="7"/>
  <c r="F76" i="7"/>
  <c r="E81" i="7"/>
  <c r="P75" i="7"/>
  <c r="F75" i="7"/>
  <c r="P74" i="7"/>
  <c r="F74" i="7"/>
  <c r="P73" i="7"/>
  <c r="F73" i="7"/>
  <c r="P72" i="7"/>
  <c r="F72" i="7"/>
  <c r="P71" i="7"/>
  <c r="F71" i="7"/>
  <c r="F70" i="7"/>
  <c r="F69" i="7"/>
  <c r="P70" i="7"/>
  <c r="P69" i="7"/>
  <c r="P68" i="7"/>
  <c r="F68" i="7"/>
  <c r="P67" i="7"/>
  <c r="F67" i="7"/>
  <c r="P66" i="7"/>
  <c r="F66" i="7"/>
  <c r="P65" i="7"/>
  <c r="F65" i="7"/>
  <c r="P64" i="7"/>
  <c r="F64" i="7"/>
  <c r="P63" i="7"/>
  <c r="F63" i="7"/>
  <c r="P62" i="7"/>
  <c r="F62" i="7"/>
  <c r="P59" i="7"/>
  <c r="F59" i="7"/>
  <c r="P34" i="7"/>
  <c r="F34" i="7"/>
  <c r="G45" i="19"/>
  <c r="J7" i="19" l="1"/>
  <c r="I15" i="19"/>
  <c r="J13" i="19"/>
  <c r="I15" i="7"/>
  <c r="L13" i="19"/>
  <c r="M13" i="19"/>
  <c r="N13" i="19"/>
  <c r="O13" i="19"/>
  <c r="K13" i="19"/>
  <c r="H16" i="19"/>
  <c r="J15" i="19" l="1"/>
  <c r="O58" i="56" l="1"/>
  <c r="O57" i="56"/>
  <c r="O56" i="56"/>
  <c r="O55" i="56"/>
  <c r="O54" i="56"/>
  <c r="O53" i="56"/>
  <c r="O51" i="56"/>
  <c r="O50" i="56"/>
  <c r="O49" i="56"/>
  <c r="O48" i="56"/>
  <c r="O47" i="56"/>
  <c r="O46" i="56"/>
  <c r="O44" i="56"/>
  <c r="O43" i="56"/>
  <c r="O42" i="56"/>
  <c r="O41" i="56"/>
  <c r="O40" i="56"/>
  <c r="O39" i="56"/>
  <c r="O37" i="56"/>
  <c r="O36" i="56"/>
  <c r="O35" i="56"/>
  <c r="O34" i="56"/>
  <c r="O33" i="56"/>
  <c r="O32" i="56"/>
  <c r="O31" i="56"/>
  <c r="O29" i="56"/>
  <c r="O28" i="56"/>
  <c r="O27" i="56"/>
  <c r="O26" i="56"/>
  <c r="O25" i="56"/>
  <c r="O24" i="56"/>
  <c r="O23" i="56"/>
  <c r="O21" i="56"/>
  <c r="O20" i="56"/>
  <c r="O19" i="56"/>
  <c r="O18" i="56"/>
  <c r="O17" i="56"/>
  <c r="O16" i="56"/>
  <c r="O15" i="56"/>
  <c r="H31" i="19" l="1"/>
  <c r="H30" i="19"/>
  <c r="H32" i="19"/>
  <c r="F32" i="45"/>
  <c r="Q18" i="7" l="1"/>
  <c r="Q17" i="7" s="1"/>
  <c r="R18" i="7" l="1"/>
  <c r="S18" i="7" s="1"/>
  <c r="T18" i="7" s="1"/>
  <c r="U18" i="7" s="1"/>
  <c r="V18" i="7" s="1"/>
  <c r="Q28" i="7"/>
  <c r="Q39" i="7"/>
  <c r="R39" i="7" s="1"/>
  <c r="S39" i="7" s="1"/>
  <c r="T39" i="7" s="1"/>
  <c r="U39" i="7" s="1"/>
  <c r="V39" i="7" s="1"/>
  <c r="Q46" i="7"/>
  <c r="R46" i="7" s="1"/>
  <c r="S46" i="7" s="1"/>
  <c r="T46" i="7" s="1"/>
  <c r="U46" i="7" s="1"/>
  <c r="V46" i="7" s="1"/>
  <c r="Q54" i="7"/>
  <c r="R54" i="7" s="1"/>
  <c r="S54" i="7" s="1"/>
  <c r="T54" i="7" s="1"/>
  <c r="U54" i="7" s="1"/>
  <c r="V54" i="7" s="1"/>
  <c r="Q82" i="7"/>
  <c r="R82" i="7" s="1"/>
  <c r="S82" i="7" s="1"/>
  <c r="T82" i="7" s="1"/>
  <c r="U82" i="7" s="1"/>
  <c r="V82" i="7" s="1"/>
  <c r="R28" i="7" l="1"/>
  <c r="S28" i="7" s="1"/>
  <c r="T28" i="7" s="1"/>
  <c r="U28" i="7" s="1"/>
  <c r="V28" i="7" s="1"/>
  <c r="K32" i="56"/>
  <c r="H23" i="19" l="1"/>
  <c r="M8" i="1" l="1"/>
  <c r="I8" i="1"/>
  <c r="F92" i="45"/>
  <c r="F91" i="45"/>
  <c r="F90" i="45"/>
  <c r="G10" i="47"/>
  <c r="B6" i="45"/>
  <c r="B3" i="40"/>
  <c r="B3" i="46"/>
  <c r="G5" i="60"/>
  <c r="M48" i="60"/>
  <c r="L48" i="60"/>
  <c r="K48" i="60"/>
  <c r="J48" i="60"/>
  <c r="I48" i="60"/>
  <c r="H48" i="60"/>
  <c r="I5" i="19"/>
  <c r="O10" i="58"/>
  <c r="BC10" i="58"/>
  <c r="AU10" i="58"/>
  <c r="AM10" i="58"/>
  <c r="AE10" i="58"/>
  <c r="W10" i="58"/>
  <c r="G10" i="58"/>
  <c r="BC10" i="57"/>
  <c r="AU10" i="57"/>
  <c r="AM10" i="57"/>
  <c r="AE10" i="57"/>
  <c r="W10" i="57"/>
  <c r="O10" i="57"/>
  <c r="G10" i="57"/>
  <c r="BC10" i="47"/>
  <c r="AU10" i="47"/>
  <c r="AM10" i="47"/>
  <c r="AE10" i="47"/>
  <c r="W10" i="47"/>
  <c r="O10" i="47"/>
  <c r="G52" i="1"/>
  <c r="G41" i="1"/>
  <c r="G32" i="1"/>
  <c r="G19" i="1"/>
  <c r="I10" i="1"/>
  <c r="I9" i="1"/>
  <c r="H41" i="19" l="1"/>
  <c r="BD19" i="47"/>
  <c r="BD19" i="58" s="1"/>
  <c r="BC19" i="47"/>
  <c r="BC19" i="58" s="1"/>
  <c r="AV19" i="47"/>
  <c r="AV19" i="58" s="1"/>
  <c r="AU19" i="47"/>
  <c r="AU19" i="58" s="1"/>
  <c r="AN19" i="47"/>
  <c r="AN19" i="58" s="1"/>
  <c r="AM19" i="47"/>
  <c r="AM19" i="58" s="1"/>
  <c r="AF19" i="47"/>
  <c r="AE19" i="47"/>
  <c r="AE19" i="58" s="1"/>
  <c r="X19" i="47"/>
  <c r="X19" i="58" s="1"/>
  <c r="W19" i="47"/>
  <c r="W19" i="58" s="1"/>
  <c r="P19" i="47"/>
  <c r="O19" i="47"/>
  <c r="O19" i="58" s="1"/>
  <c r="H19" i="47"/>
  <c r="H19" i="58" s="1"/>
  <c r="J20" i="19" s="1"/>
  <c r="G19" i="47"/>
  <c r="G19" i="58" s="1"/>
  <c r="I20" i="19" s="1"/>
  <c r="W47" i="47"/>
  <c r="W47" i="58" s="1"/>
  <c r="X47" i="47"/>
  <c r="X47" i="58" s="1"/>
  <c r="AE47" i="47"/>
  <c r="AE47" i="58" s="1"/>
  <c r="AF47" i="47"/>
  <c r="AF47" i="58" s="1"/>
  <c r="AM47" i="47"/>
  <c r="AM47" i="58" s="1"/>
  <c r="AN47" i="47"/>
  <c r="AN47" i="58" s="1"/>
  <c r="AU47" i="47"/>
  <c r="AU47" i="58" s="1"/>
  <c r="AV47" i="47"/>
  <c r="AV47" i="58" s="1"/>
  <c r="BC47" i="47"/>
  <c r="BC47" i="58" s="1"/>
  <c r="BD47" i="47"/>
  <c r="BE47" i="47" s="1"/>
  <c r="BF47" i="47" s="1"/>
  <c r="BG47" i="47" s="1"/>
  <c r="BH47" i="47" s="1"/>
  <c r="BI47" i="47" s="1"/>
  <c r="P47" i="47"/>
  <c r="P47" i="58" s="1"/>
  <c r="O47" i="47"/>
  <c r="O47" i="58" s="1"/>
  <c r="H47" i="47"/>
  <c r="H47" i="58" s="1"/>
  <c r="J22" i="19" s="1"/>
  <c r="G47" i="47"/>
  <c r="G47" i="58" s="1"/>
  <c r="I22" i="19" s="1"/>
  <c r="H26" i="46"/>
  <c r="H44" i="46"/>
  <c r="H16" i="46"/>
  <c r="H16" i="40"/>
  <c r="H44" i="40"/>
  <c r="AG47" i="47" l="1"/>
  <c r="AH47" i="47" s="1"/>
  <c r="AI47" i="47" s="1"/>
  <c r="AJ47" i="47" s="1"/>
  <c r="AK47" i="47" s="1"/>
  <c r="BD47" i="58"/>
  <c r="Y47" i="47"/>
  <c r="Z47" i="47" s="1"/>
  <c r="AA47" i="47" s="1"/>
  <c r="AB47" i="47" s="1"/>
  <c r="AC47" i="47" s="1"/>
  <c r="BE19" i="47"/>
  <c r="BF19" i="47" s="1"/>
  <c r="BG19" i="47" s="1"/>
  <c r="BH19" i="47" s="1"/>
  <c r="BI19" i="47" s="1"/>
  <c r="I47" i="47"/>
  <c r="J47" i="47" s="1"/>
  <c r="K47" i="47" s="1"/>
  <c r="L47" i="47" s="1"/>
  <c r="M47" i="47" s="1"/>
  <c r="Q47" i="47"/>
  <c r="R47" i="47" s="1"/>
  <c r="S47" i="47" s="1"/>
  <c r="T47" i="47" s="1"/>
  <c r="U47" i="47" s="1"/>
  <c r="I23" i="19"/>
  <c r="J23" i="19"/>
  <c r="P19" i="58"/>
  <c r="Q19" i="47"/>
  <c r="R19" i="47" s="1"/>
  <c r="S19" i="47" s="1"/>
  <c r="T19" i="47" s="1"/>
  <c r="U19" i="47" s="1"/>
  <c r="AO19" i="47"/>
  <c r="AP19" i="47" s="1"/>
  <c r="AQ19" i="47" s="1"/>
  <c r="AR19" i="47" s="1"/>
  <c r="AS19" i="47" s="1"/>
  <c r="AO47" i="47"/>
  <c r="AP47" i="47" s="1"/>
  <c r="AQ47" i="47" s="1"/>
  <c r="AR47" i="47" s="1"/>
  <c r="AS47" i="47" s="1"/>
  <c r="AW19" i="47"/>
  <c r="AX19" i="47" s="1"/>
  <c r="AY19" i="47" s="1"/>
  <c r="AZ19" i="47" s="1"/>
  <c r="BA19" i="47" s="1"/>
  <c r="I19" i="47"/>
  <c r="J19" i="47" s="1"/>
  <c r="K19" i="47" s="1"/>
  <c r="L19" i="47" s="1"/>
  <c r="M19" i="47" s="1"/>
  <c r="AW47" i="47"/>
  <c r="AX47" i="47" s="1"/>
  <c r="AY47" i="47" s="1"/>
  <c r="AZ47" i="47" s="1"/>
  <c r="BA47" i="47" s="1"/>
  <c r="AF19" i="58"/>
  <c r="AG19" i="47"/>
  <c r="AH19" i="47" s="1"/>
  <c r="AI19" i="47" s="1"/>
  <c r="AJ19" i="47" s="1"/>
  <c r="AK19" i="47" s="1"/>
  <c r="Y19" i="47"/>
  <c r="Z19" i="47" s="1"/>
  <c r="AA19" i="47" s="1"/>
  <c r="AB19" i="47" s="1"/>
  <c r="AC19" i="47" s="1"/>
  <c r="G54" i="1"/>
  <c r="L60" i="1"/>
  <c r="M60" i="1"/>
  <c r="K60" i="1"/>
  <c r="J60" i="1"/>
  <c r="I60" i="1"/>
  <c r="H60" i="1"/>
  <c r="G60" i="1"/>
  <c r="M54" i="1"/>
  <c r="I54" i="1"/>
  <c r="J54" i="1"/>
  <c r="K54" i="1"/>
  <c r="L54" i="1"/>
  <c r="H54" i="1"/>
  <c r="N19" i="47" l="1"/>
  <c r="D21" i="61"/>
  <c r="E21" i="61"/>
  <c r="F21" i="61"/>
  <c r="G21" i="61"/>
  <c r="H21" i="61"/>
  <c r="I21" i="61"/>
  <c r="D22" i="61"/>
  <c r="E22" i="61"/>
  <c r="F22" i="61"/>
  <c r="G22" i="61"/>
  <c r="H22" i="61"/>
  <c r="I22" i="61"/>
  <c r="D23" i="61"/>
  <c r="E23" i="61"/>
  <c r="F23" i="61"/>
  <c r="G23" i="61"/>
  <c r="H23" i="61"/>
  <c r="I23" i="61"/>
  <c r="D24" i="61"/>
  <c r="E24" i="61"/>
  <c r="F24" i="61"/>
  <c r="G24" i="61"/>
  <c r="H24" i="61"/>
  <c r="I24" i="61"/>
  <c r="D25" i="61"/>
  <c r="E25" i="61"/>
  <c r="F25" i="61"/>
  <c r="G25" i="61"/>
  <c r="H25" i="61"/>
  <c r="I25" i="61"/>
  <c r="D26" i="61"/>
  <c r="E26" i="61"/>
  <c r="F26" i="61"/>
  <c r="G26" i="61"/>
  <c r="H26" i="61"/>
  <c r="I26" i="61"/>
  <c r="D27" i="61"/>
  <c r="E27" i="61"/>
  <c r="F27" i="61"/>
  <c r="G27" i="61"/>
  <c r="H27" i="61"/>
  <c r="I27" i="61"/>
  <c r="E20" i="61"/>
  <c r="F20" i="61"/>
  <c r="G20" i="61"/>
  <c r="H20" i="61"/>
  <c r="I20" i="61"/>
  <c r="D20" i="61"/>
  <c r="D12" i="61"/>
  <c r="E12" i="61"/>
  <c r="F12" i="61"/>
  <c r="G12" i="61"/>
  <c r="H12" i="61"/>
  <c r="I12" i="61"/>
  <c r="D13" i="61"/>
  <c r="E13" i="61"/>
  <c r="F13" i="61"/>
  <c r="G13" i="61"/>
  <c r="H13" i="61"/>
  <c r="I13" i="61"/>
  <c r="D14" i="61"/>
  <c r="E14" i="61"/>
  <c r="F14" i="61"/>
  <c r="G14" i="61"/>
  <c r="H14" i="61"/>
  <c r="I14" i="61"/>
  <c r="D15" i="61"/>
  <c r="E15" i="61"/>
  <c r="F15" i="61"/>
  <c r="G15" i="61"/>
  <c r="H15" i="61"/>
  <c r="I15" i="61"/>
  <c r="D16" i="61"/>
  <c r="E16" i="61"/>
  <c r="F16" i="61"/>
  <c r="G16" i="61"/>
  <c r="H16" i="61"/>
  <c r="I16" i="61"/>
  <c r="D17" i="61"/>
  <c r="E17" i="61"/>
  <c r="F17" i="61"/>
  <c r="G17" i="61"/>
  <c r="H17" i="61"/>
  <c r="I17" i="61"/>
  <c r="E11" i="61"/>
  <c r="F11" i="61"/>
  <c r="G11" i="61"/>
  <c r="H11" i="61"/>
  <c r="I11" i="61"/>
  <c r="D11" i="61"/>
  <c r="E9" i="61"/>
  <c r="F9" i="61" s="1"/>
  <c r="G9" i="61" s="1"/>
  <c r="H9" i="61" s="1"/>
  <c r="I9" i="61" s="1"/>
  <c r="J1" i="61"/>
  <c r="J26" i="61" l="1"/>
  <c r="J22" i="61"/>
  <c r="J21" i="61"/>
  <c r="J27" i="61"/>
  <c r="J23" i="61"/>
  <c r="J24" i="61"/>
  <c r="J25" i="61"/>
  <c r="J20" i="61"/>
  <c r="J12" i="61"/>
  <c r="J16" i="61"/>
  <c r="J17" i="61"/>
  <c r="J13" i="61"/>
  <c r="J14" i="61"/>
  <c r="J15" i="61"/>
  <c r="J11" i="61"/>
  <c r="G18" i="61"/>
  <c r="F18" i="61"/>
  <c r="H28" i="61"/>
  <c r="H18" i="61"/>
  <c r="E18" i="61"/>
  <c r="E28" i="61"/>
  <c r="G28" i="61"/>
  <c r="I28" i="61"/>
  <c r="D18" i="61"/>
  <c r="D28" i="61"/>
  <c r="F28" i="61"/>
  <c r="I18" i="61"/>
  <c r="E31" i="61" l="1"/>
  <c r="I31" i="61"/>
  <c r="D31" i="61"/>
  <c r="F31" i="61"/>
  <c r="G31" i="61"/>
  <c r="H31" i="61"/>
  <c r="J28" i="61"/>
  <c r="J18" i="61"/>
  <c r="J31" i="61" l="1"/>
  <c r="O43" i="26" l="1"/>
  <c r="O54" i="26"/>
  <c r="O53" i="26"/>
  <c r="O52" i="26"/>
  <c r="O51" i="26"/>
  <c r="O50" i="26"/>
  <c r="O47" i="26"/>
  <c r="O46" i="26"/>
  <c r="O45" i="26"/>
  <c r="O44" i="26"/>
  <c r="P85" i="7" l="1"/>
  <c r="P84" i="7"/>
  <c r="P79" i="7"/>
  <c r="P78" i="7"/>
  <c r="P61" i="7"/>
  <c r="P60" i="7"/>
  <c r="P56" i="7"/>
  <c r="P51" i="7"/>
  <c r="P50" i="7"/>
  <c r="P49" i="7"/>
  <c r="P48" i="7"/>
  <c r="P43" i="7"/>
  <c r="P42" i="7"/>
  <c r="P41" i="7"/>
  <c r="P36" i="7"/>
  <c r="P35" i="7"/>
  <c r="P33" i="7"/>
  <c r="P32" i="7"/>
  <c r="P31" i="7"/>
  <c r="P30" i="7"/>
  <c r="P25" i="7"/>
  <c r="P24" i="7"/>
  <c r="P23" i="7"/>
  <c r="P22" i="7"/>
  <c r="P21" i="7"/>
  <c r="P20" i="7"/>
  <c r="W85" i="7" l="1"/>
  <c r="W84" i="7"/>
  <c r="W79" i="7"/>
  <c r="W51" i="7"/>
  <c r="W43" i="7"/>
  <c r="W42" i="7"/>
  <c r="W36" i="7"/>
  <c r="W25" i="7"/>
  <c r="W24" i="7"/>
  <c r="Q11" i="7" l="1"/>
  <c r="BD29" i="47"/>
  <c r="BD29" i="58" s="1"/>
  <c r="BC29" i="47"/>
  <c r="BC29" i="58" s="1"/>
  <c r="AV29" i="47"/>
  <c r="AV29" i="58" s="1"/>
  <c r="AU29" i="47"/>
  <c r="AU29" i="58" s="1"/>
  <c r="AN29" i="47"/>
  <c r="AN29" i="58" s="1"/>
  <c r="AM29" i="47"/>
  <c r="AM29" i="58" s="1"/>
  <c r="AF29" i="47"/>
  <c r="AG29" i="47" s="1"/>
  <c r="AH29" i="47" s="1"/>
  <c r="AI29" i="47" s="1"/>
  <c r="AJ29" i="47" s="1"/>
  <c r="AK29" i="47" s="1"/>
  <c r="AE29" i="47"/>
  <c r="AE29" i="58" s="1"/>
  <c r="X29" i="47"/>
  <c r="X29" i="58" s="1"/>
  <c r="W29" i="47"/>
  <c r="W29" i="58" s="1"/>
  <c r="P29" i="47"/>
  <c r="P29" i="58" s="1"/>
  <c r="O29" i="47"/>
  <c r="O29" i="58" s="1"/>
  <c r="H29" i="47"/>
  <c r="H29" i="58" s="1"/>
  <c r="G29" i="47"/>
  <c r="G29" i="58" s="1"/>
  <c r="H26" i="40"/>
  <c r="H25" i="19"/>
  <c r="H10" i="19"/>
  <c r="H11" i="19" s="1"/>
  <c r="Q29" i="47" l="1"/>
  <c r="R29" i="47" s="1"/>
  <c r="S29" i="47" s="1"/>
  <c r="T29" i="47" s="1"/>
  <c r="U29" i="47" s="1"/>
  <c r="Q12" i="7"/>
  <c r="Y29" i="47"/>
  <c r="Z29" i="47" s="1"/>
  <c r="AA29" i="47" s="1"/>
  <c r="AB29" i="47" s="1"/>
  <c r="AC29" i="47" s="1"/>
  <c r="AF29" i="58"/>
  <c r="I29" i="47"/>
  <c r="AO29" i="47"/>
  <c r="AP29" i="47" s="1"/>
  <c r="AQ29" i="47" s="1"/>
  <c r="AR29" i="47" s="1"/>
  <c r="AS29" i="47" s="1"/>
  <c r="AW29" i="47"/>
  <c r="AX29" i="47" s="1"/>
  <c r="AY29" i="47" s="1"/>
  <c r="AZ29" i="47" s="1"/>
  <c r="BA29" i="47" s="1"/>
  <c r="BE29" i="47"/>
  <c r="BF29" i="47" s="1"/>
  <c r="BG29" i="47" s="1"/>
  <c r="BH29" i="47" s="1"/>
  <c r="BI29" i="47" s="1"/>
  <c r="J29" i="47" l="1"/>
  <c r="R12" i="7"/>
  <c r="C13" i="32"/>
  <c r="K29" i="47" l="1"/>
  <c r="S12" i="7"/>
  <c r="G78" i="58"/>
  <c r="L29" i="47" l="1"/>
  <c r="T12" i="7"/>
  <c r="G28" i="60"/>
  <c r="U12" i="7" l="1"/>
  <c r="M29" i="47"/>
  <c r="V12" i="7" s="1"/>
  <c r="N29" i="47" l="1"/>
  <c r="O16" i="26"/>
  <c r="O17" i="26"/>
  <c r="O18" i="26"/>
  <c r="O19" i="26"/>
  <c r="O20" i="26"/>
  <c r="O21" i="26"/>
  <c r="O22" i="26"/>
  <c r="O23" i="26"/>
  <c r="O24" i="26"/>
  <c r="O25" i="26"/>
  <c r="O26" i="26"/>
  <c r="O27" i="26"/>
  <c r="O28" i="26"/>
  <c r="O29" i="26"/>
  <c r="O30" i="26"/>
  <c r="O31" i="26"/>
  <c r="O15" i="26"/>
  <c r="AD1" i="7"/>
  <c r="W1" i="7"/>
  <c r="K58" i="56"/>
  <c r="K57" i="56"/>
  <c r="K56" i="56"/>
  <c r="K55" i="56"/>
  <c r="K54" i="56"/>
  <c r="K53" i="56"/>
  <c r="K51" i="56"/>
  <c r="K50" i="56"/>
  <c r="K49" i="56"/>
  <c r="K48" i="56"/>
  <c r="K47" i="56"/>
  <c r="K46" i="56"/>
  <c r="K44" i="56"/>
  <c r="K43" i="56"/>
  <c r="K42" i="56"/>
  <c r="K41" i="56"/>
  <c r="K40" i="56"/>
  <c r="K39" i="56"/>
  <c r="K37" i="56"/>
  <c r="K36" i="56"/>
  <c r="K35" i="56"/>
  <c r="K34" i="56"/>
  <c r="K33" i="56"/>
  <c r="K31" i="56"/>
  <c r="K29" i="56"/>
  <c r="K28" i="56"/>
  <c r="K27" i="56"/>
  <c r="K26" i="56"/>
  <c r="K25" i="56"/>
  <c r="K24" i="56"/>
  <c r="K23" i="56"/>
  <c r="K21" i="56"/>
  <c r="K20" i="56"/>
  <c r="K19" i="56"/>
  <c r="K18" i="56"/>
  <c r="K17" i="56"/>
  <c r="K16" i="56"/>
  <c r="J91" i="45" l="1"/>
  <c r="K91" i="45"/>
  <c r="L91" i="45"/>
  <c r="M91" i="45"/>
  <c r="N91" i="45"/>
  <c r="I91" i="45"/>
  <c r="I80" i="45" l="1"/>
  <c r="I26" i="55" l="1"/>
  <c r="I25" i="55"/>
  <c r="I24" i="55"/>
  <c r="I23" i="55"/>
  <c r="Q22" i="58"/>
  <c r="I11" i="58"/>
  <c r="Q11" i="58"/>
  <c r="R11" i="58"/>
  <c r="S11" i="58"/>
  <c r="T11" i="58"/>
  <c r="U11" i="58"/>
  <c r="Y11" i="58"/>
  <c r="Z11" i="58"/>
  <c r="AA11" i="58"/>
  <c r="AB11" i="58"/>
  <c r="AC11" i="58"/>
  <c r="AG11" i="58"/>
  <c r="AH11" i="58"/>
  <c r="AI11" i="58"/>
  <c r="AJ11" i="58"/>
  <c r="AK11" i="58"/>
  <c r="AO11" i="58"/>
  <c r="AP11" i="58"/>
  <c r="AQ11" i="58"/>
  <c r="AR11" i="58"/>
  <c r="AS11" i="58"/>
  <c r="AW11" i="58"/>
  <c r="AX11" i="58"/>
  <c r="AY11" i="58"/>
  <c r="AZ11" i="58"/>
  <c r="BA11" i="58"/>
  <c r="BE11" i="58"/>
  <c r="BF11" i="58"/>
  <c r="BG11" i="58"/>
  <c r="BH11" i="58"/>
  <c r="BI11" i="58"/>
  <c r="J11" i="58"/>
  <c r="K11" i="58"/>
  <c r="L11" i="58"/>
  <c r="M11" i="58"/>
  <c r="R50" i="58"/>
  <c r="Q50" i="58"/>
  <c r="BC7" i="57"/>
  <c r="BE39" i="57" s="1"/>
  <c r="AU7" i="57"/>
  <c r="AM7" i="57"/>
  <c r="AS40" i="57" s="1"/>
  <c r="AE7" i="57"/>
  <c r="AG42" i="57" s="1"/>
  <c r="W7" i="57"/>
  <c r="AA39" i="57" s="1"/>
  <c r="O7" i="57"/>
  <c r="R61" i="57" s="1"/>
  <c r="I11" i="57"/>
  <c r="Q11" i="57"/>
  <c r="R11" i="57"/>
  <c r="S11" i="57"/>
  <c r="T11" i="57"/>
  <c r="U11" i="57"/>
  <c r="Y11" i="57"/>
  <c r="Z11" i="57"/>
  <c r="AA11" i="57"/>
  <c r="AB11" i="57"/>
  <c r="AC11" i="57"/>
  <c r="AG11" i="57"/>
  <c r="AH11" i="57"/>
  <c r="AI11" i="57"/>
  <c r="AJ11" i="57"/>
  <c r="AK11" i="57"/>
  <c r="AO11" i="57"/>
  <c r="AP11" i="57"/>
  <c r="AQ11" i="57"/>
  <c r="AR11" i="57"/>
  <c r="AS11" i="57"/>
  <c r="AW11" i="57"/>
  <c r="AX11" i="57"/>
  <c r="AY11" i="57"/>
  <c r="AZ11" i="57"/>
  <c r="BA11" i="57"/>
  <c r="BE11" i="57"/>
  <c r="BF11" i="57"/>
  <c r="BG11" i="57"/>
  <c r="BH11" i="57"/>
  <c r="BI11" i="57"/>
  <c r="J11" i="57"/>
  <c r="K11" i="57"/>
  <c r="L11" i="57"/>
  <c r="M11" i="57"/>
  <c r="BD53" i="47"/>
  <c r="BD53" i="58" s="1"/>
  <c r="BC53" i="47"/>
  <c r="BC53" i="58" s="1"/>
  <c r="AV53" i="47"/>
  <c r="AV53" i="58" s="1"/>
  <c r="AU53" i="47"/>
  <c r="AU53" i="58" s="1"/>
  <c r="AN53" i="47"/>
  <c r="AN53" i="58" s="1"/>
  <c r="AM53" i="47"/>
  <c r="AM53" i="58" s="1"/>
  <c r="AF53" i="47"/>
  <c r="AF53" i="58" s="1"/>
  <c r="AE53" i="47"/>
  <c r="AE53" i="58" s="1"/>
  <c r="X53" i="47"/>
  <c r="X53" i="58" s="1"/>
  <c r="W53" i="47"/>
  <c r="W53" i="58" s="1"/>
  <c r="P53" i="47"/>
  <c r="P53" i="58" s="1"/>
  <c r="O53" i="47"/>
  <c r="O53" i="58" s="1"/>
  <c r="G53" i="47"/>
  <c r="G53" i="58" s="1"/>
  <c r="H53" i="47"/>
  <c r="H53" i="58" s="1"/>
  <c r="BD25" i="47"/>
  <c r="BD25" i="58" s="1"/>
  <c r="BC25" i="47"/>
  <c r="BC25" i="58" s="1"/>
  <c r="AV25" i="47"/>
  <c r="AV25" i="58" s="1"/>
  <c r="AU25" i="47"/>
  <c r="AU25" i="58" s="1"/>
  <c r="AN25" i="47"/>
  <c r="AN25" i="58" s="1"/>
  <c r="AM25" i="47"/>
  <c r="AM25" i="58" s="1"/>
  <c r="AF25" i="47"/>
  <c r="AF25" i="58" s="1"/>
  <c r="AE25" i="47"/>
  <c r="AE25" i="58" s="1"/>
  <c r="X25" i="47"/>
  <c r="X25" i="58" s="1"/>
  <c r="W25" i="47"/>
  <c r="W25" i="58" s="1"/>
  <c r="P25" i="47"/>
  <c r="P25" i="58" s="1"/>
  <c r="O25" i="47"/>
  <c r="O25" i="58" s="1"/>
  <c r="G25" i="47"/>
  <c r="G25" i="58" s="1"/>
  <c r="H25" i="47"/>
  <c r="H25" i="58" s="1"/>
  <c r="I10" i="40"/>
  <c r="I62" i="40" s="1"/>
  <c r="I33" i="40"/>
  <c r="I33" i="46"/>
  <c r="I61" i="46" s="1"/>
  <c r="H50" i="46"/>
  <c r="H22" i="46"/>
  <c r="H50" i="40"/>
  <c r="H22" i="40"/>
  <c r="H21" i="60"/>
  <c r="H50" i="60"/>
  <c r="H12" i="60"/>
  <c r="H51" i="60" s="1"/>
  <c r="H52" i="60"/>
  <c r="I14" i="60"/>
  <c r="J14" i="60" s="1"/>
  <c r="I15" i="60"/>
  <c r="J15" i="60" s="1"/>
  <c r="K15" i="60" s="1"/>
  <c r="L15" i="60" s="1"/>
  <c r="M15" i="60" s="1"/>
  <c r="I16" i="60"/>
  <c r="J16" i="60" s="1"/>
  <c r="K16" i="60" s="1"/>
  <c r="L16" i="60" s="1"/>
  <c r="M16" i="60" s="1"/>
  <c r="I17" i="60"/>
  <c r="J17" i="60" s="1"/>
  <c r="K17" i="60" s="1"/>
  <c r="L17" i="60" s="1"/>
  <c r="M17" i="60" s="1"/>
  <c r="I18" i="60"/>
  <c r="I19" i="60"/>
  <c r="J19" i="60" s="1"/>
  <c r="K19" i="60" s="1"/>
  <c r="L19" i="60" s="1"/>
  <c r="M19" i="60" s="1"/>
  <c r="I20" i="60"/>
  <c r="J20" i="60" s="1"/>
  <c r="K20" i="60" s="1"/>
  <c r="L20" i="60" s="1"/>
  <c r="M20" i="60" s="1"/>
  <c r="I8" i="60"/>
  <c r="I9" i="60"/>
  <c r="J9" i="60" s="1"/>
  <c r="K9" i="60" s="1"/>
  <c r="L9" i="60" s="1"/>
  <c r="M9" i="60" s="1"/>
  <c r="I10" i="60"/>
  <c r="J10" i="60" s="1"/>
  <c r="K10" i="60" s="1"/>
  <c r="L10" i="60" s="1"/>
  <c r="M10" i="60" s="1"/>
  <c r="I11" i="60"/>
  <c r="J11" i="60" s="1"/>
  <c r="K11" i="60" s="1"/>
  <c r="L11" i="60" s="1"/>
  <c r="M11" i="60" s="1"/>
  <c r="I40" i="60"/>
  <c r="I52" i="60" s="1"/>
  <c r="H32" i="60"/>
  <c r="I45" i="60" s="1"/>
  <c r="I32" i="60"/>
  <c r="J40" i="60"/>
  <c r="J52" i="60" s="1"/>
  <c r="J32" i="60"/>
  <c r="K40" i="60"/>
  <c r="K52" i="60" s="1"/>
  <c r="K32" i="60"/>
  <c r="L40" i="60"/>
  <c r="L52" i="60" s="1"/>
  <c r="L32" i="60"/>
  <c r="J90" i="45"/>
  <c r="F62" i="52"/>
  <c r="I16" i="19" s="1"/>
  <c r="BH39" i="57"/>
  <c r="BI39" i="57"/>
  <c r="H39" i="47"/>
  <c r="I39" i="47" s="1"/>
  <c r="J39" i="47" s="1"/>
  <c r="K39" i="47" s="1"/>
  <c r="L39" i="47" s="1"/>
  <c r="M39" i="47" s="1"/>
  <c r="Z40" i="57"/>
  <c r="AA40" i="57"/>
  <c r="BE40" i="57"/>
  <c r="BF40" i="57"/>
  <c r="BG40" i="57"/>
  <c r="BH40" i="57"/>
  <c r="BI40" i="57"/>
  <c r="H40" i="47"/>
  <c r="Z41" i="57"/>
  <c r="AA41" i="57"/>
  <c r="AC41" i="57"/>
  <c r="AG41" i="57"/>
  <c r="BE41" i="57"/>
  <c r="BF41" i="57"/>
  <c r="BI41" i="57"/>
  <c r="AB42" i="57"/>
  <c r="S42" i="57"/>
  <c r="Y42" i="57"/>
  <c r="Y42" i="58" s="1"/>
  <c r="Z42" i="57"/>
  <c r="AA42" i="57"/>
  <c r="BE42" i="57"/>
  <c r="BF42" i="57"/>
  <c r="BG42" i="57"/>
  <c r="BH42" i="57"/>
  <c r="BI42" i="57"/>
  <c r="H42" i="47"/>
  <c r="Y43" i="57"/>
  <c r="Z43" i="57"/>
  <c r="AA43" i="57"/>
  <c r="AC43" i="57"/>
  <c r="AP43" i="57"/>
  <c r="AQ43" i="57"/>
  <c r="BE43" i="57"/>
  <c r="BF43" i="57"/>
  <c r="BG43" i="57"/>
  <c r="BH43" i="57"/>
  <c r="BI43" i="57"/>
  <c r="H43" i="47"/>
  <c r="H43" i="58" s="1"/>
  <c r="AB44" i="57"/>
  <c r="AJ44" i="57"/>
  <c r="S44" i="57"/>
  <c r="Y44" i="57"/>
  <c r="Z44" i="57"/>
  <c r="AA44" i="57"/>
  <c r="AC44" i="57"/>
  <c r="AS44" i="57"/>
  <c r="BE44" i="57"/>
  <c r="BF44" i="57"/>
  <c r="BG44" i="57"/>
  <c r="BH44" i="57"/>
  <c r="BI44" i="57"/>
  <c r="H44" i="47"/>
  <c r="H44" i="58" s="1"/>
  <c r="T45" i="57"/>
  <c r="AB45" i="57"/>
  <c r="AR45" i="57"/>
  <c r="Y45" i="57"/>
  <c r="Z45" i="57"/>
  <c r="AA45" i="57"/>
  <c r="AC45" i="57"/>
  <c r="AZ45" i="57"/>
  <c r="BE45" i="57"/>
  <c r="BF45" i="57"/>
  <c r="BG45" i="57"/>
  <c r="BH45" i="57"/>
  <c r="BI45" i="57"/>
  <c r="H45" i="47"/>
  <c r="H45" i="58" s="1"/>
  <c r="AB46" i="57"/>
  <c r="U46" i="57"/>
  <c r="Y46" i="57"/>
  <c r="Z46" i="57"/>
  <c r="AA46" i="57"/>
  <c r="AC46" i="57"/>
  <c r="AK46" i="57"/>
  <c r="AO46" i="57"/>
  <c r="AP46" i="57"/>
  <c r="BE46" i="57"/>
  <c r="BF46" i="57"/>
  <c r="BG46" i="57"/>
  <c r="BH46" i="57"/>
  <c r="BI46" i="57"/>
  <c r="T48" i="57"/>
  <c r="T48" i="58" s="1"/>
  <c r="AB48" i="57"/>
  <c r="Y48" i="57"/>
  <c r="Y48" i="58" s="1"/>
  <c r="Z48" i="57"/>
  <c r="Z48" i="58" s="1"/>
  <c r="AA48" i="57"/>
  <c r="AA48" i="58" s="1"/>
  <c r="AC48" i="57"/>
  <c r="AC48" i="58" s="1"/>
  <c r="AK48" i="57"/>
  <c r="AK48" i="58" s="1"/>
  <c r="AO48" i="57"/>
  <c r="AO48" i="58" s="1"/>
  <c r="AP48" i="57"/>
  <c r="AP48" i="58" s="1"/>
  <c r="BA48" i="57"/>
  <c r="BA48" i="58" s="1"/>
  <c r="BE48" i="57"/>
  <c r="BE48" i="58" s="1"/>
  <c r="BF48" i="57"/>
  <c r="BF48" i="58" s="1"/>
  <c r="BG48" i="57"/>
  <c r="BG48" i="58" s="1"/>
  <c r="BH48" i="57"/>
  <c r="BH48" i="58" s="1"/>
  <c r="BI48" i="57"/>
  <c r="BI48" i="58" s="1"/>
  <c r="AB49" i="57"/>
  <c r="AB49" i="58" s="1"/>
  <c r="Y49" i="57"/>
  <c r="Y49" i="58" s="1"/>
  <c r="Z49" i="57"/>
  <c r="Z49" i="58" s="1"/>
  <c r="AA49" i="57"/>
  <c r="AC49" i="57"/>
  <c r="AC49" i="58" s="1"/>
  <c r="AK49" i="57"/>
  <c r="AK49" i="58" s="1"/>
  <c r="AO49" i="57"/>
  <c r="AO49" i="58" s="1"/>
  <c r="BE49" i="57"/>
  <c r="BE49" i="58" s="1"/>
  <c r="BF49" i="57"/>
  <c r="BF49" i="58" s="1"/>
  <c r="BG49" i="57"/>
  <c r="BG49" i="58" s="1"/>
  <c r="BH49" i="57"/>
  <c r="BH49" i="58" s="1"/>
  <c r="BI49" i="57"/>
  <c r="BI49" i="58" s="1"/>
  <c r="H46" i="47"/>
  <c r="H48" i="47"/>
  <c r="H49" i="47"/>
  <c r="AB55" i="57"/>
  <c r="U55" i="57"/>
  <c r="Y55" i="57"/>
  <c r="Z55" i="57"/>
  <c r="AA55" i="57"/>
  <c r="AC55" i="57"/>
  <c r="AG55" i="57"/>
  <c r="AI55" i="57"/>
  <c r="AO55" i="57"/>
  <c r="AP55" i="57"/>
  <c r="AZ55" i="57"/>
  <c r="BE55" i="57"/>
  <c r="BF55" i="57"/>
  <c r="BG55" i="57"/>
  <c r="BH55" i="57"/>
  <c r="BI55" i="57"/>
  <c r="AB56" i="57"/>
  <c r="R56" i="57"/>
  <c r="Y56" i="57"/>
  <c r="Z56" i="57"/>
  <c r="AA56" i="57"/>
  <c r="AC56" i="57"/>
  <c r="AG56" i="57"/>
  <c r="AI56" i="57"/>
  <c r="AK56" i="57"/>
  <c r="AO56" i="57"/>
  <c r="BE56" i="57"/>
  <c r="BF56" i="57"/>
  <c r="BG56" i="57"/>
  <c r="BH56" i="57"/>
  <c r="BI56" i="57"/>
  <c r="H55" i="47"/>
  <c r="H55" i="58" s="1"/>
  <c r="T57" i="57"/>
  <c r="AB57" i="57"/>
  <c r="AB57" i="58" s="1"/>
  <c r="AJ57" i="57"/>
  <c r="U57" i="57"/>
  <c r="Y57" i="57"/>
  <c r="Z57" i="57"/>
  <c r="AA57" i="57"/>
  <c r="AC57" i="57"/>
  <c r="AG57" i="57"/>
  <c r="AH57" i="57"/>
  <c r="AI57" i="57"/>
  <c r="AY57" i="57"/>
  <c r="BE57" i="57"/>
  <c r="BF57" i="57"/>
  <c r="BG57" i="57"/>
  <c r="BH57" i="57"/>
  <c r="BI57" i="57"/>
  <c r="H57" i="47"/>
  <c r="H57" i="58" s="1"/>
  <c r="AB58" i="57"/>
  <c r="AJ58" i="57"/>
  <c r="AR58" i="57"/>
  <c r="Y58" i="57"/>
  <c r="Z58" i="57"/>
  <c r="AA58" i="57"/>
  <c r="AC58" i="57"/>
  <c r="AG58" i="57"/>
  <c r="AH58" i="57"/>
  <c r="AI58" i="57"/>
  <c r="AK58" i="57"/>
  <c r="AQ58" i="57"/>
  <c r="AS58" i="57"/>
  <c r="AY58" i="57"/>
  <c r="BE58" i="57"/>
  <c r="BF58" i="57"/>
  <c r="BG58" i="57"/>
  <c r="BH58" i="57"/>
  <c r="BI58" i="57"/>
  <c r="AB59" i="57"/>
  <c r="AJ59" i="57"/>
  <c r="R59" i="57"/>
  <c r="Y59" i="57"/>
  <c r="Z59" i="57"/>
  <c r="AA59" i="57"/>
  <c r="AC59" i="57"/>
  <c r="AG59" i="57"/>
  <c r="AH59" i="57"/>
  <c r="AI59" i="57"/>
  <c r="AK59" i="57"/>
  <c r="AY59" i="57"/>
  <c r="BE59" i="57"/>
  <c r="BF59" i="57"/>
  <c r="BG59" i="57"/>
  <c r="BH59" i="57"/>
  <c r="BI59" i="57"/>
  <c r="H58" i="47"/>
  <c r="H58" i="58" s="1"/>
  <c r="H59" i="47"/>
  <c r="AB60" i="57"/>
  <c r="AJ60" i="57"/>
  <c r="Q60" i="57"/>
  <c r="S60" i="57"/>
  <c r="Y60" i="57"/>
  <c r="Z60" i="57"/>
  <c r="AA60" i="57"/>
  <c r="AC60" i="57"/>
  <c r="AG60" i="57"/>
  <c r="AH60" i="57"/>
  <c r="AI60" i="57"/>
  <c r="AK60" i="57"/>
  <c r="AW60" i="57"/>
  <c r="BA60" i="57"/>
  <c r="BE60" i="57"/>
  <c r="BF60" i="57"/>
  <c r="BG60" i="57"/>
  <c r="BH60" i="57"/>
  <c r="BI60" i="57"/>
  <c r="J9" i="7"/>
  <c r="Q53" i="7"/>
  <c r="Q81" i="7"/>
  <c r="H60" i="47"/>
  <c r="H61" i="47"/>
  <c r="I61" i="47" s="1"/>
  <c r="AB15" i="57"/>
  <c r="AJ15" i="57"/>
  <c r="U15" i="57"/>
  <c r="Y15" i="57"/>
  <c r="Z15" i="57"/>
  <c r="AA15" i="57"/>
  <c r="AC15" i="57"/>
  <c r="AG15" i="57"/>
  <c r="AH15" i="57"/>
  <c r="AI15" i="57"/>
  <c r="AK15" i="57"/>
  <c r="AO15" i="57"/>
  <c r="AY15" i="57"/>
  <c r="BE15" i="57"/>
  <c r="BF15" i="57"/>
  <c r="BG15" i="57"/>
  <c r="BH15" i="57"/>
  <c r="BI15" i="57"/>
  <c r="H15" i="47"/>
  <c r="H15" i="58" s="1"/>
  <c r="T16" i="57"/>
  <c r="AB16" i="57"/>
  <c r="AJ16" i="57"/>
  <c r="U16" i="57"/>
  <c r="Y16" i="57"/>
  <c r="Z16" i="57"/>
  <c r="AA16" i="57"/>
  <c r="AC16" i="57"/>
  <c r="AG16" i="57"/>
  <c r="AH16" i="57"/>
  <c r="AI16" i="57"/>
  <c r="AK16" i="57"/>
  <c r="AP16" i="57"/>
  <c r="AQ16" i="57"/>
  <c r="AY16" i="57"/>
  <c r="AZ16" i="57"/>
  <c r="BE16" i="57"/>
  <c r="BF16" i="57"/>
  <c r="BG16" i="57"/>
  <c r="BH16" i="57"/>
  <c r="BI16" i="57"/>
  <c r="H16" i="47"/>
  <c r="H16" i="58" s="1"/>
  <c r="O7" i="47"/>
  <c r="S56" i="47" s="1"/>
  <c r="W7" i="47"/>
  <c r="AE7" i="47"/>
  <c r="AG56" i="47" s="1"/>
  <c r="AM7" i="47"/>
  <c r="AO56" i="47" s="1"/>
  <c r="AU7" i="47"/>
  <c r="BC7" i="47"/>
  <c r="H50" i="47"/>
  <c r="H50" i="58" s="1"/>
  <c r="H17" i="47"/>
  <c r="H17" i="58" s="1"/>
  <c r="J24" i="19" s="1"/>
  <c r="H18" i="47"/>
  <c r="H22" i="47"/>
  <c r="H22" i="58" s="1"/>
  <c r="H27" i="47"/>
  <c r="H30" i="47"/>
  <c r="H30" i="58" s="1"/>
  <c r="H31" i="47"/>
  <c r="H31" i="58" s="1"/>
  <c r="H32" i="47"/>
  <c r="H32" i="58" s="1"/>
  <c r="Y20" i="57"/>
  <c r="Y20" i="58" s="1"/>
  <c r="AG20" i="57"/>
  <c r="AG20" i="58" s="1"/>
  <c r="S20" i="57"/>
  <c r="S20" i="58" s="1"/>
  <c r="U20" i="57"/>
  <c r="U20" i="58" s="1"/>
  <c r="Z20" i="57"/>
  <c r="Z20" i="58" s="1"/>
  <c r="AA20" i="57"/>
  <c r="AA20" i="58" s="1"/>
  <c r="AB20" i="57"/>
  <c r="AB20" i="58" s="1"/>
  <c r="AC20" i="57"/>
  <c r="AC20" i="58" s="1"/>
  <c r="AH20" i="57"/>
  <c r="AH20" i="58" s="1"/>
  <c r="AI20" i="57"/>
  <c r="AI20" i="58" s="1"/>
  <c r="AJ20" i="57"/>
  <c r="AJ20" i="58" s="1"/>
  <c r="AK20" i="57"/>
  <c r="AK20" i="58" s="1"/>
  <c r="AR20" i="57"/>
  <c r="AR20" i="58" s="1"/>
  <c r="AS20" i="57"/>
  <c r="AS20" i="58" s="1"/>
  <c r="AY20" i="57"/>
  <c r="AY20" i="58" s="1"/>
  <c r="AZ20" i="57"/>
  <c r="AZ20" i="58" s="1"/>
  <c r="BE20" i="57"/>
  <c r="BE20" i="58" s="1"/>
  <c r="BF20" i="57"/>
  <c r="BF20" i="58" s="1"/>
  <c r="BG20" i="57"/>
  <c r="BG20" i="58" s="1"/>
  <c r="BH20" i="57"/>
  <c r="BH20" i="58" s="1"/>
  <c r="BI20" i="57"/>
  <c r="BI20" i="58" s="1"/>
  <c r="Y21" i="57"/>
  <c r="Y21" i="58" s="1"/>
  <c r="AG21" i="57"/>
  <c r="AG21" i="58" s="1"/>
  <c r="S21" i="57"/>
  <c r="S21" i="58" s="1"/>
  <c r="T21" i="57"/>
  <c r="T21" i="58" s="1"/>
  <c r="Z21" i="57"/>
  <c r="Z21" i="58" s="1"/>
  <c r="AA21" i="57"/>
  <c r="AA21" i="58" s="1"/>
  <c r="AB21" i="57"/>
  <c r="AB21" i="58" s="1"/>
  <c r="AC21" i="57"/>
  <c r="AC21" i="58" s="1"/>
  <c r="AH21" i="57"/>
  <c r="AH21" i="58" s="1"/>
  <c r="AI21" i="57"/>
  <c r="AI21" i="58" s="1"/>
  <c r="AJ21" i="57"/>
  <c r="AJ21" i="58" s="1"/>
  <c r="AK21" i="57"/>
  <c r="AK21" i="58" s="1"/>
  <c r="AP21" i="57"/>
  <c r="AP21" i="58" s="1"/>
  <c r="AQ21" i="57"/>
  <c r="AQ21" i="58" s="1"/>
  <c r="AX21" i="57"/>
  <c r="AX21" i="58" s="1"/>
  <c r="AY21" i="57"/>
  <c r="AY21" i="58" s="1"/>
  <c r="AZ21" i="57"/>
  <c r="AZ21" i="58" s="1"/>
  <c r="BA21" i="57"/>
  <c r="BA21" i="58" s="1"/>
  <c r="BE21" i="57"/>
  <c r="BE21" i="58" s="1"/>
  <c r="BF21" i="57"/>
  <c r="BF21" i="58" s="1"/>
  <c r="BG21" i="57"/>
  <c r="BG21" i="58" s="1"/>
  <c r="BH21" i="57"/>
  <c r="BH21" i="58" s="1"/>
  <c r="BI21" i="57"/>
  <c r="BI21" i="58" s="1"/>
  <c r="H20" i="47"/>
  <c r="H20" i="58" s="1"/>
  <c r="H21" i="47"/>
  <c r="H21" i="58" s="1"/>
  <c r="Y27" i="57"/>
  <c r="AG27" i="57"/>
  <c r="R27" i="57"/>
  <c r="T27" i="57"/>
  <c r="U27" i="57"/>
  <c r="Z27" i="57"/>
  <c r="AA27" i="57"/>
  <c r="AB27" i="57"/>
  <c r="AC27" i="57"/>
  <c r="AH27" i="57"/>
  <c r="AI27" i="57"/>
  <c r="AJ27" i="57"/>
  <c r="AK27" i="57"/>
  <c r="AW27" i="57"/>
  <c r="AX27" i="57"/>
  <c r="AY27" i="57"/>
  <c r="AZ27" i="57"/>
  <c r="BA27" i="57"/>
  <c r="BE27" i="57"/>
  <c r="BF27" i="57"/>
  <c r="BG27" i="57"/>
  <c r="BH27" i="57"/>
  <c r="BI27" i="57"/>
  <c r="Y28" i="57"/>
  <c r="AG28" i="57"/>
  <c r="T28" i="57"/>
  <c r="U28" i="57"/>
  <c r="Z28" i="57"/>
  <c r="AA28" i="57"/>
  <c r="AB28" i="57"/>
  <c r="AC28" i="57"/>
  <c r="AH28" i="57"/>
  <c r="AI28" i="57"/>
  <c r="AJ28" i="57"/>
  <c r="AK28" i="57"/>
  <c r="AW28" i="57"/>
  <c r="AX28" i="57"/>
  <c r="AY28" i="57"/>
  <c r="AZ28" i="57"/>
  <c r="BA28" i="57"/>
  <c r="BE28" i="57"/>
  <c r="BF28" i="57"/>
  <c r="BG28" i="57"/>
  <c r="BH28" i="57"/>
  <c r="BI28" i="57"/>
  <c r="G25" i="46"/>
  <c r="H28" i="47" s="1"/>
  <c r="H28" i="58" s="1"/>
  <c r="I28" i="47"/>
  <c r="Y30" i="57"/>
  <c r="AG30" i="57"/>
  <c r="R30" i="57"/>
  <c r="S30" i="57"/>
  <c r="T30" i="57"/>
  <c r="Z30" i="57"/>
  <c r="AA30" i="57"/>
  <c r="AB30" i="57"/>
  <c r="AC30" i="57"/>
  <c r="AH30" i="57"/>
  <c r="AI30" i="57"/>
  <c r="AJ30" i="57"/>
  <c r="AK30" i="57"/>
  <c r="AP30" i="57"/>
  <c r="AW30" i="57"/>
  <c r="AX30" i="57"/>
  <c r="AY30" i="57"/>
  <c r="AZ30" i="57"/>
  <c r="BA30" i="57"/>
  <c r="BE30" i="57"/>
  <c r="BF30" i="57"/>
  <c r="BG30" i="57"/>
  <c r="BH30" i="57"/>
  <c r="BI30" i="57"/>
  <c r="Y31" i="57"/>
  <c r="Y31" i="58" s="1"/>
  <c r="AG31" i="57"/>
  <c r="AG31" i="58" s="1"/>
  <c r="R31" i="57"/>
  <c r="R31" i="58" s="1"/>
  <c r="Z31" i="57"/>
  <c r="Z31" i="58" s="1"/>
  <c r="AA31" i="57"/>
  <c r="AA31" i="58" s="1"/>
  <c r="AB31" i="57"/>
  <c r="AB31" i="58" s="1"/>
  <c r="AC31" i="57"/>
  <c r="AC31" i="58" s="1"/>
  <c r="AH31" i="57"/>
  <c r="AH31" i="58" s="1"/>
  <c r="AI31" i="57"/>
  <c r="AI31" i="58" s="1"/>
  <c r="AJ31" i="57"/>
  <c r="AJ31" i="58" s="1"/>
  <c r="AK31" i="57"/>
  <c r="AK31" i="58" s="1"/>
  <c r="AP31" i="57"/>
  <c r="AP31" i="58" s="1"/>
  <c r="AQ31" i="57"/>
  <c r="AQ31" i="58" s="1"/>
  <c r="AW31" i="57"/>
  <c r="AW31" i="58" s="1"/>
  <c r="AX31" i="57"/>
  <c r="AX31" i="58" s="1"/>
  <c r="AY31" i="57"/>
  <c r="AY31" i="58" s="1"/>
  <c r="AZ31" i="57"/>
  <c r="AZ31" i="58" s="1"/>
  <c r="BA31" i="57"/>
  <c r="BA31" i="58" s="1"/>
  <c r="BE31" i="57"/>
  <c r="BE31" i="58" s="1"/>
  <c r="BF31" i="57"/>
  <c r="BF31" i="58" s="1"/>
  <c r="BG31" i="57"/>
  <c r="BG31" i="58" s="1"/>
  <c r="BH31" i="57"/>
  <c r="BH31" i="58" s="1"/>
  <c r="BI31" i="57"/>
  <c r="BI31" i="58" s="1"/>
  <c r="Y32" i="57"/>
  <c r="AG32" i="57"/>
  <c r="S32" i="57"/>
  <c r="U32" i="57"/>
  <c r="Z32" i="57"/>
  <c r="AA32" i="57"/>
  <c r="AB32" i="57"/>
  <c r="AC32" i="57"/>
  <c r="AH32" i="57"/>
  <c r="AI32" i="57"/>
  <c r="AJ32" i="57"/>
  <c r="AK32" i="57"/>
  <c r="AP32" i="57"/>
  <c r="AQ32" i="57"/>
  <c r="AW32" i="57"/>
  <c r="AX32" i="57"/>
  <c r="AY32" i="57"/>
  <c r="AZ32" i="57"/>
  <c r="BA32" i="57"/>
  <c r="BE32" i="57"/>
  <c r="BF32" i="57"/>
  <c r="BG32" i="57"/>
  <c r="BH32" i="57"/>
  <c r="BI32" i="57"/>
  <c r="H33" i="47"/>
  <c r="I33" i="47" s="1"/>
  <c r="J33" i="47" s="1"/>
  <c r="K33" i="47" s="1"/>
  <c r="AK17" i="57"/>
  <c r="AS17" i="57"/>
  <c r="BA17" i="57"/>
  <c r="BI17" i="57"/>
  <c r="AG17" i="57"/>
  <c r="AH17" i="57"/>
  <c r="AI17" i="57"/>
  <c r="AJ17" i="57"/>
  <c r="AO17" i="57"/>
  <c r="AP17" i="57"/>
  <c r="AQ17" i="57"/>
  <c r="AR17" i="57"/>
  <c r="AW17" i="57"/>
  <c r="AX17" i="57"/>
  <c r="AY17" i="57"/>
  <c r="AZ17" i="57"/>
  <c r="BE17" i="57"/>
  <c r="BF17" i="57"/>
  <c r="BG17" i="57"/>
  <c r="BH17" i="57"/>
  <c r="AC17" i="57"/>
  <c r="U17" i="57"/>
  <c r="Y17" i="57"/>
  <c r="Z17" i="57"/>
  <c r="AE64" i="57"/>
  <c r="AF64" i="57"/>
  <c r="AM64" i="57"/>
  <c r="AN64" i="57"/>
  <c r="AU64" i="57"/>
  <c r="AV64" i="57"/>
  <c r="BC64" i="57"/>
  <c r="BD64" i="57"/>
  <c r="W64" i="57"/>
  <c r="X64" i="57"/>
  <c r="O15" i="7"/>
  <c r="N15" i="7"/>
  <c r="M15" i="7"/>
  <c r="L15" i="7"/>
  <c r="K15" i="7"/>
  <c r="J15" i="7"/>
  <c r="A85" i="7"/>
  <c r="A84" i="7"/>
  <c r="A79" i="7"/>
  <c r="A78" i="7"/>
  <c r="A61" i="7"/>
  <c r="A60" i="7"/>
  <c r="A56" i="7"/>
  <c r="A51" i="7"/>
  <c r="A50" i="7"/>
  <c r="A49" i="7"/>
  <c r="A48" i="7"/>
  <c r="A43" i="7"/>
  <c r="A42" i="7"/>
  <c r="A41" i="7"/>
  <c r="A36" i="7"/>
  <c r="A35" i="7"/>
  <c r="A33" i="7"/>
  <c r="A32" i="7"/>
  <c r="A31" i="7"/>
  <c r="A30" i="7"/>
  <c r="A21" i="7"/>
  <c r="A22" i="7"/>
  <c r="A23" i="7"/>
  <c r="A24" i="7"/>
  <c r="A25" i="7"/>
  <c r="A20" i="7"/>
  <c r="E11" i="56"/>
  <c r="F11" i="56" s="1"/>
  <c r="G11" i="56" s="1"/>
  <c r="H11" i="56" s="1"/>
  <c r="I11" i="56" s="1"/>
  <c r="G39" i="47"/>
  <c r="G39" i="58" s="1"/>
  <c r="G40" i="47"/>
  <c r="G40" i="58" s="1"/>
  <c r="G42" i="47"/>
  <c r="G42" i="58" s="1"/>
  <c r="G43" i="47"/>
  <c r="G43" i="58" s="1"/>
  <c r="G44" i="47"/>
  <c r="G44" i="58" s="1"/>
  <c r="G45" i="47"/>
  <c r="G45" i="58" s="1"/>
  <c r="G46" i="47"/>
  <c r="G46" i="58" s="1"/>
  <c r="I21" i="19" s="1"/>
  <c r="G50" i="47"/>
  <c r="G55" i="47"/>
  <c r="G55" i="58" s="1"/>
  <c r="G57" i="47"/>
  <c r="G58" i="47"/>
  <c r="G58" i="58" s="1"/>
  <c r="G60" i="47"/>
  <c r="G60" i="58" s="1"/>
  <c r="O39" i="47"/>
  <c r="O39" i="58" s="1"/>
  <c r="O40" i="47"/>
  <c r="O41" i="47"/>
  <c r="O41" i="58" s="1"/>
  <c r="O42" i="47"/>
  <c r="O42" i="58" s="1"/>
  <c r="O43" i="47"/>
  <c r="O43" i="58" s="1"/>
  <c r="O44" i="47"/>
  <c r="O44" i="58" s="1"/>
  <c r="O45" i="47"/>
  <c r="O45" i="58" s="1"/>
  <c r="O46" i="47"/>
  <c r="O50" i="47"/>
  <c r="O50" i="58" s="1"/>
  <c r="O55" i="47"/>
  <c r="O55" i="58" s="1"/>
  <c r="O57" i="47"/>
  <c r="O57" i="58" s="1"/>
  <c r="O58" i="47"/>
  <c r="O58" i="58" s="1"/>
  <c r="O60" i="47"/>
  <c r="O60" i="58" s="1"/>
  <c r="P39" i="47"/>
  <c r="Q39" i="47" s="1"/>
  <c r="R39" i="47" s="1"/>
  <c r="S39" i="47" s="1"/>
  <c r="T39" i="47" s="1"/>
  <c r="U39" i="47" s="1"/>
  <c r="P40" i="47"/>
  <c r="Q40" i="47" s="1"/>
  <c r="R40" i="47" s="1"/>
  <c r="S40" i="47" s="1"/>
  <c r="T40" i="47" s="1"/>
  <c r="U40" i="47" s="1"/>
  <c r="P41" i="47"/>
  <c r="P42" i="47"/>
  <c r="Q42" i="47" s="1"/>
  <c r="R42" i="47" s="1"/>
  <c r="S42" i="47" s="1"/>
  <c r="T42" i="47" s="1"/>
  <c r="U42" i="47" s="1"/>
  <c r="P43" i="47"/>
  <c r="P44" i="47"/>
  <c r="Q44" i="47" s="1"/>
  <c r="R44" i="47" s="1"/>
  <c r="S44" i="47" s="1"/>
  <c r="T44" i="47" s="1"/>
  <c r="U44" i="47" s="1"/>
  <c r="P45" i="47"/>
  <c r="P46" i="47"/>
  <c r="P50" i="47"/>
  <c r="P55" i="47"/>
  <c r="P55" i="58" s="1"/>
  <c r="P57" i="47"/>
  <c r="Q57" i="47" s="1"/>
  <c r="R57" i="47" s="1"/>
  <c r="S57" i="47" s="1"/>
  <c r="T57" i="47" s="1"/>
  <c r="U57" i="47" s="1"/>
  <c r="P58" i="47"/>
  <c r="P58" i="58" s="1"/>
  <c r="P60" i="47"/>
  <c r="P60" i="58" s="1"/>
  <c r="Q41" i="47"/>
  <c r="P48" i="47"/>
  <c r="P48" i="58" s="1"/>
  <c r="P49" i="47"/>
  <c r="P49" i="58" s="1"/>
  <c r="P56" i="47"/>
  <c r="P61" i="47"/>
  <c r="Q61" i="47" s="1"/>
  <c r="S41" i="47"/>
  <c r="W39" i="47"/>
  <c r="W39" i="58" s="1"/>
  <c r="W40" i="47"/>
  <c r="W40" i="58" s="1"/>
  <c r="W41" i="47"/>
  <c r="W41" i="58" s="1"/>
  <c r="W42" i="47"/>
  <c r="W42" i="58" s="1"/>
  <c r="W43" i="47"/>
  <c r="W43" i="58" s="1"/>
  <c r="W44" i="47"/>
  <c r="W45" i="47"/>
  <c r="W45" i="58" s="1"/>
  <c r="W46" i="47"/>
  <c r="W50" i="47"/>
  <c r="W50" i="58" s="1"/>
  <c r="W55" i="47"/>
  <c r="W55" i="58" s="1"/>
  <c r="W57" i="47"/>
  <c r="W57" i="58" s="1"/>
  <c r="W58" i="47"/>
  <c r="W58" i="58" s="1"/>
  <c r="W60" i="47"/>
  <c r="W60" i="58" s="1"/>
  <c r="X39" i="47"/>
  <c r="Y39" i="47" s="1"/>
  <c r="Z39" i="47" s="1"/>
  <c r="AA39" i="47" s="1"/>
  <c r="AB39" i="47" s="1"/>
  <c r="AC39" i="47" s="1"/>
  <c r="X40" i="47"/>
  <c r="Y40" i="47" s="1"/>
  <c r="Z40" i="47" s="1"/>
  <c r="AA40" i="47" s="1"/>
  <c r="AB40" i="47" s="1"/>
  <c r="AC40" i="47" s="1"/>
  <c r="X41" i="47"/>
  <c r="X42" i="47"/>
  <c r="Y42" i="47" s="1"/>
  <c r="Z42" i="47" s="1"/>
  <c r="AA42" i="47" s="1"/>
  <c r="AB42" i="47" s="1"/>
  <c r="AC42" i="47" s="1"/>
  <c r="X43" i="47"/>
  <c r="X44" i="47"/>
  <c r="Y44" i="47" s="1"/>
  <c r="Z44" i="47" s="1"/>
  <c r="AA44" i="47" s="1"/>
  <c r="AB44" i="47" s="1"/>
  <c r="AC44" i="47" s="1"/>
  <c r="X45" i="47"/>
  <c r="Y45" i="47" s="1"/>
  <c r="Z45" i="47" s="1"/>
  <c r="X46" i="47"/>
  <c r="X46" i="58" s="1"/>
  <c r="X50" i="47"/>
  <c r="X50" i="58" s="1"/>
  <c r="X55" i="47"/>
  <c r="X55" i="58" s="1"/>
  <c r="X57" i="47"/>
  <c r="Y57" i="47" s="1"/>
  <c r="Z57" i="47" s="1"/>
  <c r="AA57" i="47" s="1"/>
  <c r="AB57" i="47" s="1"/>
  <c r="AC57" i="47" s="1"/>
  <c r="X58" i="47"/>
  <c r="X58" i="58" s="1"/>
  <c r="X60" i="47"/>
  <c r="X60" i="58" s="1"/>
  <c r="X48" i="47"/>
  <c r="X48" i="58" s="1"/>
  <c r="X49" i="47"/>
  <c r="X49" i="58" s="1"/>
  <c r="X56" i="47"/>
  <c r="X61" i="47"/>
  <c r="Y61" i="47" s="1"/>
  <c r="Z61" i="47" s="1"/>
  <c r="AA61" i="47" s="1"/>
  <c r="AB61" i="47" s="1"/>
  <c r="AC61" i="47" s="1"/>
  <c r="AE39" i="47"/>
  <c r="AE39" i="58" s="1"/>
  <c r="AE40" i="47"/>
  <c r="AE41" i="47"/>
  <c r="AE41" i="58" s="1"/>
  <c r="AE42" i="47"/>
  <c r="AE42" i="58" s="1"/>
  <c r="AE43" i="47"/>
  <c r="AE43" i="58" s="1"/>
  <c r="AE44" i="47"/>
  <c r="AE44" i="58" s="1"/>
  <c r="AE45" i="47"/>
  <c r="AE45" i="58" s="1"/>
  <c r="AE46" i="47"/>
  <c r="AE50" i="47"/>
  <c r="AE50" i="58" s="1"/>
  <c r="AE55" i="47"/>
  <c r="AE57" i="47"/>
  <c r="AE57" i="58" s="1"/>
  <c r="AE58" i="47"/>
  <c r="AE60" i="47"/>
  <c r="AE60" i="58" s="1"/>
  <c r="AF39" i="47"/>
  <c r="AG39" i="47" s="1"/>
  <c r="AH39" i="47" s="1"/>
  <c r="AI39" i="47" s="1"/>
  <c r="AF40" i="47"/>
  <c r="AG40" i="47" s="1"/>
  <c r="AH40" i="47" s="1"/>
  <c r="AI40" i="47" s="1"/>
  <c r="AJ40" i="47" s="1"/>
  <c r="AK40" i="47" s="1"/>
  <c r="AF41" i="47"/>
  <c r="AF42" i="47"/>
  <c r="AG42" i="47" s="1"/>
  <c r="AH42" i="47" s="1"/>
  <c r="AI42" i="47" s="1"/>
  <c r="AJ42" i="47" s="1"/>
  <c r="AK42" i="47" s="1"/>
  <c r="AF43" i="47"/>
  <c r="AG43" i="47" s="1"/>
  <c r="AH43" i="47" s="1"/>
  <c r="AI43" i="47" s="1"/>
  <c r="AJ43" i="47" s="1"/>
  <c r="AK43" i="47" s="1"/>
  <c r="AF44" i="47"/>
  <c r="AG44" i="47" s="1"/>
  <c r="AF45" i="47"/>
  <c r="AG45" i="47" s="1"/>
  <c r="AH45" i="47" s="1"/>
  <c r="AI45" i="47" s="1"/>
  <c r="AJ45" i="47" s="1"/>
  <c r="AK45" i="47" s="1"/>
  <c r="AF46" i="47"/>
  <c r="AF46" i="58" s="1"/>
  <c r="AF50" i="47"/>
  <c r="AF50" i="58" s="1"/>
  <c r="AF55" i="47"/>
  <c r="AF57" i="47"/>
  <c r="AG57" i="47" s="1"/>
  <c r="AH57" i="47" s="1"/>
  <c r="AI57" i="47" s="1"/>
  <c r="AJ57" i="47" s="1"/>
  <c r="AF58" i="47"/>
  <c r="AF58" i="58" s="1"/>
  <c r="AF60" i="47"/>
  <c r="AF48" i="47"/>
  <c r="AF49" i="47"/>
  <c r="AF49" i="58" s="1"/>
  <c r="AF56" i="47"/>
  <c r="AF56" i="58" s="1"/>
  <c r="AF61" i="47"/>
  <c r="AG61" i="47" s="1"/>
  <c r="AH61" i="47" s="1"/>
  <c r="AI61" i="47" s="1"/>
  <c r="AJ61" i="47" s="1"/>
  <c r="AK61" i="47" s="1"/>
  <c r="AJ41" i="47"/>
  <c r="AM39" i="47"/>
  <c r="AM39" i="58" s="1"/>
  <c r="AM40" i="47"/>
  <c r="AM41" i="47"/>
  <c r="AM41" i="58" s="1"/>
  <c r="AM42" i="47"/>
  <c r="AM42" i="58" s="1"/>
  <c r="AM43" i="47"/>
  <c r="AM43" i="58" s="1"/>
  <c r="AM44" i="47"/>
  <c r="AM44" i="58" s="1"/>
  <c r="AM45" i="47"/>
  <c r="AM46" i="47"/>
  <c r="AM46" i="58" s="1"/>
  <c r="AM50" i="47"/>
  <c r="AM50" i="58" s="1"/>
  <c r="AM55" i="47"/>
  <c r="AM55" i="58" s="1"/>
  <c r="AM57" i="47"/>
  <c r="AM57" i="58" s="1"/>
  <c r="AM58" i="47"/>
  <c r="AM58" i="58" s="1"/>
  <c r="AM60" i="47"/>
  <c r="AM60" i="58" s="1"/>
  <c r="AN39" i="47"/>
  <c r="AO39" i="47" s="1"/>
  <c r="AP39" i="47" s="1"/>
  <c r="AQ39" i="47" s="1"/>
  <c r="AR39" i="47" s="1"/>
  <c r="AS39" i="47" s="1"/>
  <c r="AN40" i="47"/>
  <c r="AO40" i="47" s="1"/>
  <c r="AP40" i="47" s="1"/>
  <c r="AQ40" i="47" s="1"/>
  <c r="AR40" i="47" s="1"/>
  <c r="AS40" i="47" s="1"/>
  <c r="AN41" i="47"/>
  <c r="AN42" i="47"/>
  <c r="AO42" i="47" s="1"/>
  <c r="AP42" i="47" s="1"/>
  <c r="AQ42" i="47" s="1"/>
  <c r="AR42" i="47" s="1"/>
  <c r="AS42" i="47" s="1"/>
  <c r="AN43" i="47"/>
  <c r="AO43" i="47" s="1"/>
  <c r="AP43" i="47" s="1"/>
  <c r="AN44" i="47"/>
  <c r="AO44" i="47" s="1"/>
  <c r="AP44" i="47" s="1"/>
  <c r="AQ44" i="47" s="1"/>
  <c r="AR44" i="47" s="1"/>
  <c r="AS44" i="47" s="1"/>
  <c r="AN45" i="47"/>
  <c r="AO45" i="47" s="1"/>
  <c r="AP45" i="47" s="1"/>
  <c r="AQ45" i="47" s="1"/>
  <c r="AR45" i="47" s="1"/>
  <c r="AS45" i="47" s="1"/>
  <c r="AN46" i="47"/>
  <c r="AN46" i="58" s="1"/>
  <c r="AN50" i="47"/>
  <c r="AN50" i="58" s="1"/>
  <c r="AN55" i="47"/>
  <c r="AN57" i="47"/>
  <c r="AO57" i="47" s="1"/>
  <c r="AP57" i="47" s="1"/>
  <c r="AQ57" i="47" s="1"/>
  <c r="AR57" i="47" s="1"/>
  <c r="AS57" i="47" s="1"/>
  <c r="AN58" i="47"/>
  <c r="AN58" i="58" s="1"/>
  <c r="AN60" i="47"/>
  <c r="AN60" i="58" s="1"/>
  <c r="AN48" i="47"/>
  <c r="AN48" i="58" s="1"/>
  <c r="AN49" i="47"/>
  <c r="AN49" i="58" s="1"/>
  <c r="AN56" i="47"/>
  <c r="AN56" i="58" s="1"/>
  <c r="AN61" i="47"/>
  <c r="AO61" i="47" s="1"/>
  <c r="AP61" i="47" s="1"/>
  <c r="AQ61" i="47" s="1"/>
  <c r="AR61" i="47" s="1"/>
  <c r="AS61" i="47" s="1"/>
  <c r="AP41" i="47"/>
  <c r="AR56" i="47"/>
  <c r="AU39" i="47"/>
  <c r="AU40" i="47"/>
  <c r="AU40" i="58" s="1"/>
  <c r="AU41" i="47"/>
  <c r="AU41" i="58" s="1"/>
  <c r="AU42" i="47"/>
  <c r="AU42" i="58" s="1"/>
  <c r="AU43" i="47"/>
  <c r="AU43" i="58" s="1"/>
  <c r="AU44" i="47"/>
  <c r="AU44" i="58" s="1"/>
  <c r="AU45" i="47"/>
  <c r="AU46" i="47"/>
  <c r="AU46" i="58" s="1"/>
  <c r="AU50" i="47"/>
  <c r="AU50" i="58" s="1"/>
  <c r="AU55" i="47"/>
  <c r="AU55" i="58" s="1"/>
  <c r="AU57" i="47"/>
  <c r="AU57" i="58" s="1"/>
  <c r="AU58" i="47"/>
  <c r="AU58" i="58" s="1"/>
  <c r="AU60" i="47"/>
  <c r="AU60" i="58" s="1"/>
  <c r="AV39" i="47"/>
  <c r="AW39" i="47" s="1"/>
  <c r="AX39" i="47" s="1"/>
  <c r="AY39" i="47" s="1"/>
  <c r="AZ39" i="47" s="1"/>
  <c r="BA39" i="47" s="1"/>
  <c r="AV40" i="47"/>
  <c r="AW40" i="47" s="1"/>
  <c r="AX40" i="47" s="1"/>
  <c r="AY40" i="47" s="1"/>
  <c r="AZ40" i="47" s="1"/>
  <c r="BA40" i="47" s="1"/>
  <c r="AV41" i="47"/>
  <c r="AV42" i="47"/>
  <c r="AW42" i="47" s="1"/>
  <c r="AX42" i="47" s="1"/>
  <c r="AY42" i="47" s="1"/>
  <c r="AZ42" i="47" s="1"/>
  <c r="BA42" i="47" s="1"/>
  <c r="AV43" i="47"/>
  <c r="AW43" i="47" s="1"/>
  <c r="AX43" i="47" s="1"/>
  <c r="AY43" i="47" s="1"/>
  <c r="AZ43" i="47" s="1"/>
  <c r="BA43" i="47" s="1"/>
  <c r="AV44" i="47"/>
  <c r="AW44" i="47" s="1"/>
  <c r="AX44" i="47" s="1"/>
  <c r="AV45" i="47"/>
  <c r="AW45" i="47" s="1"/>
  <c r="AX45" i="47" s="1"/>
  <c r="AV46" i="47"/>
  <c r="AV46" i="58" s="1"/>
  <c r="AV50" i="47"/>
  <c r="AV50" i="58" s="1"/>
  <c r="AV55" i="47"/>
  <c r="AV55" i="58" s="1"/>
  <c r="AV57" i="47"/>
  <c r="AW57" i="47" s="1"/>
  <c r="AX57" i="47" s="1"/>
  <c r="AY57" i="47" s="1"/>
  <c r="AZ57" i="47" s="1"/>
  <c r="BA57" i="47" s="1"/>
  <c r="AV58" i="47"/>
  <c r="AV58" i="58" s="1"/>
  <c r="AV60" i="47"/>
  <c r="AV60" i="58" s="1"/>
  <c r="AW41" i="47"/>
  <c r="AV48" i="47"/>
  <c r="AV48" i="58" s="1"/>
  <c r="AV49" i="47"/>
  <c r="AV56" i="47"/>
  <c r="AV56" i="58" s="1"/>
  <c r="AW56" i="47"/>
  <c r="AV61" i="47"/>
  <c r="AX41" i="47"/>
  <c r="AX56" i="47"/>
  <c r="AY41" i="47"/>
  <c r="AY56" i="47"/>
  <c r="AZ41" i="47"/>
  <c r="AZ56" i="47"/>
  <c r="BA41" i="47"/>
  <c r="BA56" i="47"/>
  <c r="BC39" i="47"/>
  <c r="BC39" i="58" s="1"/>
  <c r="BC40" i="47"/>
  <c r="BC40" i="58" s="1"/>
  <c r="BC41" i="47"/>
  <c r="BC42" i="47"/>
  <c r="BC42" i="58" s="1"/>
  <c r="BC43" i="47"/>
  <c r="BC43" i="58" s="1"/>
  <c r="BC44" i="47"/>
  <c r="BC44" i="58" s="1"/>
  <c r="BC45" i="47"/>
  <c r="BC45" i="58" s="1"/>
  <c r="BC46" i="47"/>
  <c r="BC46" i="58" s="1"/>
  <c r="BC50" i="47"/>
  <c r="BC50" i="58" s="1"/>
  <c r="BC55" i="47"/>
  <c r="BC55" i="58" s="1"/>
  <c r="BC57" i="47"/>
  <c r="BC58" i="47"/>
  <c r="BC58" i="58" s="1"/>
  <c r="BC60" i="47"/>
  <c r="BC60" i="58" s="1"/>
  <c r="BD39" i="47"/>
  <c r="BE39" i="47" s="1"/>
  <c r="BF39" i="47" s="1"/>
  <c r="BG39" i="47" s="1"/>
  <c r="BH39" i="47" s="1"/>
  <c r="BI39" i="47" s="1"/>
  <c r="BD40" i="47"/>
  <c r="BD41" i="47"/>
  <c r="BD42" i="47"/>
  <c r="BD43" i="47"/>
  <c r="BE43" i="47" s="1"/>
  <c r="BF43" i="47" s="1"/>
  <c r="BG43" i="47" s="1"/>
  <c r="BH43" i="47" s="1"/>
  <c r="BI43" i="47" s="1"/>
  <c r="BI43" i="58" s="1"/>
  <c r="BD44" i="47"/>
  <c r="BE44" i="47" s="1"/>
  <c r="BF44" i="47" s="1"/>
  <c r="BD45" i="47"/>
  <c r="BE45" i="47" s="1"/>
  <c r="BF45" i="47" s="1"/>
  <c r="BG45" i="47" s="1"/>
  <c r="BH45" i="47" s="1"/>
  <c r="BI45" i="47" s="1"/>
  <c r="BD46" i="47"/>
  <c r="BD46" i="58" s="1"/>
  <c r="BD50" i="47"/>
  <c r="BD50" i="58" s="1"/>
  <c r="BD55" i="47"/>
  <c r="BD55" i="58" s="1"/>
  <c r="BD57" i="47"/>
  <c r="BD58" i="47"/>
  <c r="BD58" i="58" s="1"/>
  <c r="BD60" i="47"/>
  <c r="BD60" i="58" s="1"/>
  <c r="BD48" i="47"/>
  <c r="BD48" i="58" s="1"/>
  <c r="BD49" i="47"/>
  <c r="BD49" i="58" s="1"/>
  <c r="BD56" i="47"/>
  <c r="BE56" i="47"/>
  <c r="BE57" i="47"/>
  <c r="BF57" i="47" s="1"/>
  <c r="BG57" i="47" s="1"/>
  <c r="BD61" i="47"/>
  <c r="BE61" i="47" s="1"/>
  <c r="BF61" i="47" s="1"/>
  <c r="BG61" i="47" s="1"/>
  <c r="BH61" i="47" s="1"/>
  <c r="BI61" i="47" s="1"/>
  <c r="BF56" i="47"/>
  <c r="BG56" i="47"/>
  <c r="BH56" i="47"/>
  <c r="BI56" i="47"/>
  <c r="K90" i="45"/>
  <c r="L90" i="45"/>
  <c r="M90" i="45"/>
  <c r="N90" i="45"/>
  <c r="I90" i="45"/>
  <c r="M40" i="60"/>
  <c r="M52" i="60" s="1"/>
  <c r="I43" i="60"/>
  <c r="J43" i="60" s="1"/>
  <c r="K43" i="60" s="1"/>
  <c r="L43" i="60" s="1"/>
  <c r="M43" i="60" s="1"/>
  <c r="I24" i="60"/>
  <c r="G26" i="60"/>
  <c r="G27" i="60"/>
  <c r="G29" i="60"/>
  <c r="G30" i="60"/>
  <c r="G31" i="60"/>
  <c r="M32" i="60"/>
  <c r="G12" i="60"/>
  <c r="G21" i="60"/>
  <c r="I6" i="60"/>
  <c r="J6" i="60" s="1"/>
  <c r="K6" i="60" s="1"/>
  <c r="L6" i="60" s="1"/>
  <c r="M6" i="60" s="1"/>
  <c r="M1" i="60"/>
  <c r="M10" i="1"/>
  <c r="O1" i="19"/>
  <c r="L1" i="52"/>
  <c r="M1" i="58"/>
  <c r="M1" i="57"/>
  <c r="M1" i="26"/>
  <c r="O1" i="7"/>
  <c r="I1" i="6"/>
  <c r="I1" i="56"/>
  <c r="M1" i="47"/>
  <c r="I1" i="55"/>
  <c r="H1" i="45"/>
  <c r="M1" i="1"/>
  <c r="G1" i="40"/>
  <c r="G1" i="46"/>
  <c r="M9" i="1"/>
  <c r="I17" i="7"/>
  <c r="I27" i="7"/>
  <c r="I38" i="7"/>
  <c r="I45" i="7"/>
  <c r="J17" i="7"/>
  <c r="K17" i="7"/>
  <c r="L17" i="7"/>
  <c r="M17" i="7"/>
  <c r="J27" i="7"/>
  <c r="K27" i="7"/>
  <c r="L27" i="7"/>
  <c r="M27" i="7"/>
  <c r="J38" i="7"/>
  <c r="K38" i="7"/>
  <c r="L38" i="7"/>
  <c r="M38" i="7"/>
  <c r="J45" i="7"/>
  <c r="K45" i="7"/>
  <c r="L45" i="7"/>
  <c r="M45" i="7"/>
  <c r="I53" i="7"/>
  <c r="J53" i="7"/>
  <c r="K53" i="7"/>
  <c r="L53" i="7"/>
  <c r="M53" i="7"/>
  <c r="I81" i="7"/>
  <c r="J81" i="7"/>
  <c r="K81" i="7"/>
  <c r="L81" i="7"/>
  <c r="M81" i="7"/>
  <c r="J28" i="47"/>
  <c r="F64" i="52"/>
  <c r="F93" i="45"/>
  <c r="K101" i="19"/>
  <c r="L101" i="19" s="1"/>
  <c r="M101" i="19" s="1"/>
  <c r="N101" i="19" s="1"/>
  <c r="O101" i="19" s="1"/>
  <c r="K89" i="19"/>
  <c r="L89" i="19" s="1"/>
  <c r="M89" i="19" s="1"/>
  <c r="N89" i="19" s="1"/>
  <c r="O89" i="19" s="1"/>
  <c r="C103" i="19"/>
  <c r="D103" i="19"/>
  <c r="C104" i="19"/>
  <c r="D104" i="19"/>
  <c r="C105" i="19"/>
  <c r="D105" i="19"/>
  <c r="C106" i="19"/>
  <c r="D106" i="19"/>
  <c r="C107" i="19"/>
  <c r="D107" i="19"/>
  <c r="C108" i="19"/>
  <c r="D108" i="19"/>
  <c r="C109" i="19"/>
  <c r="D109" i="19"/>
  <c r="O94" i="19"/>
  <c r="N94" i="19"/>
  <c r="M94" i="19"/>
  <c r="L94" i="19"/>
  <c r="K94" i="19"/>
  <c r="J94" i="19"/>
  <c r="I94" i="19"/>
  <c r="H94" i="19"/>
  <c r="O93" i="19"/>
  <c r="N93" i="19"/>
  <c r="M93" i="19"/>
  <c r="L93" i="19"/>
  <c r="K93" i="19"/>
  <c r="J93" i="19"/>
  <c r="I93" i="19"/>
  <c r="H93" i="19"/>
  <c r="C96" i="19"/>
  <c r="D96" i="19"/>
  <c r="C97" i="19"/>
  <c r="D97" i="19"/>
  <c r="C93" i="19"/>
  <c r="D93" i="19"/>
  <c r="C94" i="19"/>
  <c r="D94" i="19"/>
  <c r="C95" i="19"/>
  <c r="D95" i="19"/>
  <c r="G57" i="58"/>
  <c r="M28" i="47"/>
  <c r="K28" i="47"/>
  <c r="L28" i="47"/>
  <c r="G25" i="40"/>
  <c r="G28" i="47" s="1"/>
  <c r="G28" i="58" s="1"/>
  <c r="G15" i="47"/>
  <c r="G15" i="58" s="1"/>
  <c r="G16" i="47"/>
  <c r="G16" i="58" s="1"/>
  <c r="G17" i="47"/>
  <c r="G17" i="58" s="1"/>
  <c r="I24" i="19" s="1"/>
  <c r="I25" i="19" s="1"/>
  <c r="G18" i="47"/>
  <c r="G18" i="58" s="1"/>
  <c r="I19" i="19" s="1"/>
  <c r="G22" i="47"/>
  <c r="G22" i="58" s="1"/>
  <c r="G27" i="47"/>
  <c r="G27" i="58" s="1"/>
  <c r="G30" i="47"/>
  <c r="G30" i="58" s="1"/>
  <c r="G31" i="47"/>
  <c r="G31" i="58" s="1"/>
  <c r="G32" i="47"/>
  <c r="G32" i="58" s="1"/>
  <c r="N17" i="7"/>
  <c r="N27" i="7"/>
  <c r="N38" i="7"/>
  <c r="N45" i="7"/>
  <c r="N53" i="7"/>
  <c r="N81" i="7"/>
  <c r="H18" i="19"/>
  <c r="I96" i="19"/>
  <c r="G44" i="19"/>
  <c r="I95" i="19" s="1"/>
  <c r="G20" i="47"/>
  <c r="G20" i="58" s="1"/>
  <c r="G21" i="47"/>
  <c r="G21" i="58" s="1"/>
  <c r="G48" i="47"/>
  <c r="G48" i="58" s="1"/>
  <c r="G49" i="47"/>
  <c r="G49" i="58" s="1"/>
  <c r="H48" i="58"/>
  <c r="H49" i="58"/>
  <c r="X17" i="7"/>
  <c r="F14" i="52" s="1"/>
  <c r="H24" i="47"/>
  <c r="H24" i="58" s="1"/>
  <c r="H52" i="47"/>
  <c r="H52" i="58" s="1"/>
  <c r="F63" i="52"/>
  <c r="H26" i="47"/>
  <c r="H26" i="58" s="1"/>
  <c r="H54" i="47"/>
  <c r="H54" i="58" s="1"/>
  <c r="F50" i="52"/>
  <c r="F47" i="52"/>
  <c r="F43" i="52"/>
  <c r="F42" i="52"/>
  <c r="F41" i="52"/>
  <c r="F39" i="52"/>
  <c r="F38" i="52"/>
  <c r="F32" i="52"/>
  <c r="F31" i="52"/>
  <c r="F29" i="52"/>
  <c r="F25" i="52"/>
  <c r="F22" i="52"/>
  <c r="F21" i="52"/>
  <c r="N80" i="45"/>
  <c r="X81" i="7" s="1"/>
  <c r="M80" i="45"/>
  <c r="X53" i="7" s="1"/>
  <c r="L80" i="45"/>
  <c r="X45" i="7" s="1"/>
  <c r="K80" i="45"/>
  <c r="X38" i="7" s="1"/>
  <c r="J80" i="45"/>
  <c r="X27" i="7" s="1"/>
  <c r="D53" i="52"/>
  <c r="C53" i="52"/>
  <c r="D52" i="52"/>
  <c r="C52" i="52"/>
  <c r="D51" i="52"/>
  <c r="C51" i="52"/>
  <c r="D50" i="52"/>
  <c r="C50" i="52"/>
  <c r="D49" i="52"/>
  <c r="C49" i="52"/>
  <c r="D48" i="52"/>
  <c r="C48" i="52"/>
  <c r="D47" i="52"/>
  <c r="C47" i="52"/>
  <c r="D46" i="52"/>
  <c r="C46" i="52"/>
  <c r="D45" i="52"/>
  <c r="C45" i="52"/>
  <c r="D44" i="52"/>
  <c r="C44" i="52"/>
  <c r="D43" i="52"/>
  <c r="C43" i="52"/>
  <c r="D42" i="52"/>
  <c r="C42" i="52"/>
  <c r="D41" i="52"/>
  <c r="C41" i="52"/>
  <c r="D40" i="52"/>
  <c r="C40" i="52"/>
  <c r="D39" i="52"/>
  <c r="C39" i="52"/>
  <c r="D38" i="52"/>
  <c r="C38" i="52"/>
  <c r="D37" i="52"/>
  <c r="C37" i="52"/>
  <c r="D36" i="52"/>
  <c r="C36" i="52"/>
  <c r="D35" i="52"/>
  <c r="C35" i="52"/>
  <c r="D34" i="52"/>
  <c r="C34" i="52"/>
  <c r="D33" i="52"/>
  <c r="C33" i="52"/>
  <c r="D32" i="52"/>
  <c r="C32" i="52"/>
  <c r="D31" i="52"/>
  <c r="C31" i="52"/>
  <c r="D30" i="52"/>
  <c r="C30" i="52"/>
  <c r="D29" i="52"/>
  <c r="C29" i="52"/>
  <c r="D28" i="52"/>
  <c r="C28" i="52"/>
  <c r="D27" i="52"/>
  <c r="C27" i="52"/>
  <c r="D26" i="52"/>
  <c r="C26" i="52"/>
  <c r="D25" i="52"/>
  <c r="C25" i="52"/>
  <c r="D24" i="52"/>
  <c r="C24" i="52"/>
  <c r="D23" i="52"/>
  <c r="C23" i="52"/>
  <c r="O51" i="47"/>
  <c r="O51" i="58" s="1"/>
  <c r="P51" i="47"/>
  <c r="P51" i="58" s="1"/>
  <c r="W51" i="47"/>
  <c r="W51" i="58" s="1"/>
  <c r="X51" i="47"/>
  <c r="X51" i="58" s="1"/>
  <c r="AE51" i="47"/>
  <c r="AE51" i="58" s="1"/>
  <c r="AF51" i="47"/>
  <c r="AF51" i="58" s="1"/>
  <c r="AM51" i="47"/>
  <c r="AM51" i="58" s="1"/>
  <c r="AN51" i="47"/>
  <c r="AN51" i="58" s="1"/>
  <c r="AU51" i="47"/>
  <c r="AU51" i="58" s="1"/>
  <c r="AV51" i="47"/>
  <c r="AV51" i="58" s="1"/>
  <c r="BC51" i="47"/>
  <c r="BC51" i="58" s="1"/>
  <c r="BD51" i="47"/>
  <c r="BD51" i="58" s="1"/>
  <c r="BE50" i="58"/>
  <c r="BF50" i="58"/>
  <c r="BG50" i="58"/>
  <c r="BH50" i="58"/>
  <c r="BI50" i="58"/>
  <c r="P50" i="58"/>
  <c r="Y50" i="58"/>
  <c r="AG50" i="58"/>
  <c r="AO50" i="58"/>
  <c r="AW50" i="58"/>
  <c r="AX50" i="58"/>
  <c r="AY50" i="58"/>
  <c r="AZ50" i="58"/>
  <c r="BA50" i="58"/>
  <c r="S50" i="58"/>
  <c r="T50" i="58"/>
  <c r="U50" i="58"/>
  <c r="Z50" i="58"/>
  <c r="AA50" i="58"/>
  <c r="AB50" i="58"/>
  <c r="AC50" i="58"/>
  <c r="AH50" i="58"/>
  <c r="AI50" i="58"/>
  <c r="AJ50" i="58"/>
  <c r="AK50" i="58"/>
  <c r="AP50" i="58"/>
  <c r="AQ50" i="58"/>
  <c r="AR50" i="58"/>
  <c r="AS50" i="58"/>
  <c r="Q11" i="47"/>
  <c r="R11" i="47"/>
  <c r="S11" i="47"/>
  <c r="T11" i="47"/>
  <c r="U11" i="47"/>
  <c r="Y11" i="47"/>
  <c r="Z11" i="47"/>
  <c r="AA11" i="47"/>
  <c r="AB11" i="47"/>
  <c r="AC11" i="47"/>
  <c r="AG11" i="47"/>
  <c r="AH11" i="47"/>
  <c r="AI11" i="47"/>
  <c r="AJ11" i="47"/>
  <c r="AK11" i="47"/>
  <c r="AO11" i="47"/>
  <c r="AP11" i="47"/>
  <c r="AQ11" i="47"/>
  <c r="AR11" i="47"/>
  <c r="AS11" i="47"/>
  <c r="AW11" i="47"/>
  <c r="AX11" i="47"/>
  <c r="AY11" i="47"/>
  <c r="AZ11" i="47"/>
  <c r="BA11" i="47"/>
  <c r="BE11" i="47"/>
  <c r="BF11" i="47"/>
  <c r="BG11" i="47"/>
  <c r="BH11" i="47"/>
  <c r="BI11" i="47"/>
  <c r="M11" i="47"/>
  <c r="L11" i="47"/>
  <c r="K11" i="47"/>
  <c r="J11" i="47"/>
  <c r="I11" i="47"/>
  <c r="P27" i="47"/>
  <c r="P27" i="58" s="1"/>
  <c r="P28" i="47"/>
  <c r="P28" i="58" s="1"/>
  <c r="S28" i="47"/>
  <c r="P15" i="47"/>
  <c r="Q15" i="47" s="1"/>
  <c r="P16" i="47"/>
  <c r="Q16" i="47" s="1"/>
  <c r="R16" i="47" s="1"/>
  <c r="P18" i="47"/>
  <c r="P18" i="58" s="1"/>
  <c r="P20" i="47"/>
  <c r="P20" i="58" s="1"/>
  <c r="P21" i="47"/>
  <c r="P21" i="58" s="1"/>
  <c r="P30" i="47"/>
  <c r="P32" i="47"/>
  <c r="P32" i="58" s="1"/>
  <c r="P33" i="47"/>
  <c r="Q33" i="47" s="1"/>
  <c r="R33" i="47" s="1"/>
  <c r="S33" i="47" s="1"/>
  <c r="T33" i="47" s="1"/>
  <c r="U33" i="47" s="1"/>
  <c r="X27" i="47"/>
  <c r="X27" i="58" s="1"/>
  <c r="X28" i="47"/>
  <c r="X28" i="58" s="1"/>
  <c r="X15" i="47"/>
  <c r="Y15" i="47" s="1"/>
  <c r="X16" i="47"/>
  <c r="Y16" i="47" s="1"/>
  <c r="Z16" i="47" s="1"/>
  <c r="AA16" i="47" s="1"/>
  <c r="AB16" i="47" s="1"/>
  <c r="AC16" i="47" s="1"/>
  <c r="X18" i="47"/>
  <c r="X18" i="58" s="1"/>
  <c r="X20" i="47"/>
  <c r="X20" i="58" s="1"/>
  <c r="X21" i="47"/>
  <c r="X30" i="47"/>
  <c r="Y30" i="47" s="1"/>
  <c r="Z30" i="47" s="1"/>
  <c r="AA30" i="47" s="1"/>
  <c r="AB30" i="47" s="1"/>
  <c r="AC30" i="47" s="1"/>
  <c r="X32" i="47"/>
  <c r="X32" i="58" s="1"/>
  <c r="X33" i="47"/>
  <c r="Y33" i="47" s="1"/>
  <c r="Z33" i="47" s="1"/>
  <c r="AA33" i="47" s="1"/>
  <c r="AB33" i="47" s="1"/>
  <c r="AC33" i="47" s="1"/>
  <c r="AF27" i="47"/>
  <c r="AF27" i="58" s="1"/>
  <c r="AF28" i="47"/>
  <c r="AF28" i="58" s="1"/>
  <c r="AK28" i="47"/>
  <c r="AF15" i="47"/>
  <c r="AG15" i="47" s="1"/>
  <c r="AF16" i="47"/>
  <c r="AG16" i="47" s="1"/>
  <c r="AH16" i="47" s="1"/>
  <c r="AF18" i="47"/>
  <c r="AF18" i="58" s="1"/>
  <c r="AF20" i="47"/>
  <c r="AF20" i="58" s="1"/>
  <c r="AF21" i="47"/>
  <c r="AF21" i="58" s="1"/>
  <c r="AF30" i="47"/>
  <c r="AG30" i="47" s="1"/>
  <c r="AH30" i="47" s="1"/>
  <c r="AI30" i="47" s="1"/>
  <c r="AJ30" i="47" s="1"/>
  <c r="AK30" i="47" s="1"/>
  <c r="AF32" i="47"/>
  <c r="AF32" i="58" s="1"/>
  <c r="AF33" i="47"/>
  <c r="AG33" i="47" s="1"/>
  <c r="AH33" i="47" s="1"/>
  <c r="AI33" i="47" s="1"/>
  <c r="AJ33" i="47" s="1"/>
  <c r="AK33" i="47" s="1"/>
  <c r="AO28" i="47"/>
  <c r="AN27" i="47"/>
  <c r="AN27" i="58" s="1"/>
  <c r="AN28" i="47"/>
  <c r="AR28" i="47"/>
  <c r="AN15" i="47"/>
  <c r="AO15" i="47" s="1"/>
  <c r="AP15" i="47" s="1"/>
  <c r="AQ15" i="47" s="1"/>
  <c r="AR15" i="47" s="1"/>
  <c r="AS15" i="47" s="1"/>
  <c r="AN16" i="47"/>
  <c r="AO16" i="47" s="1"/>
  <c r="AP16" i="47" s="1"/>
  <c r="AN18" i="47"/>
  <c r="AN18" i="58" s="1"/>
  <c r="AN20" i="47"/>
  <c r="AN20" i="58" s="1"/>
  <c r="AN21" i="47"/>
  <c r="AN21" i="58" s="1"/>
  <c r="AN30" i="47"/>
  <c r="AN32" i="47"/>
  <c r="AN32" i="58" s="1"/>
  <c r="AN33" i="47"/>
  <c r="AO33" i="47" s="1"/>
  <c r="AP33" i="47" s="1"/>
  <c r="AQ33" i="47" s="1"/>
  <c r="AR33" i="47" s="1"/>
  <c r="AS33" i="47" s="1"/>
  <c r="AW28" i="47"/>
  <c r="AV27" i="47"/>
  <c r="AV27" i="58" s="1"/>
  <c r="AV28" i="47"/>
  <c r="AV28" i="58" s="1"/>
  <c r="AV15" i="47"/>
  <c r="AW15" i="47" s="1"/>
  <c r="AX15" i="47" s="1"/>
  <c r="AV16" i="47"/>
  <c r="AW16" i="47" s="1"/>
  <c r="AX16" i="47" s="1"/>
  <c r="AY16" i="47" s="1"/>
  <c r="AZ16" i="47" s="1"/>
  <c r="BA16" i="47" s="1"/>
  <c r="AV18" i="47"/>
  <c r="AV18" i="58" s="1"/>
  <c r="AV20" i="47"/>
  <c r="AV21" i="47"/>
  <c r="AV21" i="58" s="1"/>
  <c r="AV30" i="47"/>
  <c r="AW30" i="47" s="1"/>
  <c r="AX30" i="47" s="1"/>
  <c r="AY30" i="47" s="1"/>
  <c r="AZ30" i="47" s="1"/>
  <c r="BA30" i="47" s="1"/>
  <c r="AV32" i="47"/>
  <c r="AV32" i="58" s="1"/>
  <c r="AV33" i="47"/>
  <c r="AW33" i="47" s="1"/>
  <c r="AX33" i="47" s="1"/>
  <c r="AY33" i="47" s="1"/>
  <c r="AZ33" i="47" s="1"/>
  <c r="BA33" i="47" s="1"/>
  <c r="AX28" i="47"/>
  <c r="AY28" i="47"/>
  <c r="AZ28" i="47"/>
  <c r="BA28" i="47"/>
  <c r="BE28" i="47"/>
  <c r="BD27" i="47"/>
  <c r="BD27" i="58" s="1"/>
  <c r="BD28" i="47"/>
  <c r="BD28" i="58" s="1"/>
  <c r="BD15" i="47"/>
  <c r="BE15" i="47" s="1"/>
  <c r="BF15" i="47" s="1"/>
  <c r="BG15" i="47" s="1"/>
  <c r="BH15" i="47" s="1"/>
  <c r="BI15" i="47" s="1"/>
  <c r="BD16" i="47"/>
  <c r="BE16" i="47" s="1"/>
  <c r="BD18" i="47"/>
  <c r="BD18" i="58" s="1"/>
  <c r="BD20" i="47"/>
  <c r="BD21" i="47"/>
  <c r="BD21" i="58" s="1"/>
  <c r="BD30" i="47"/>
  <c r="BE30" i="47" s="1"/>
  <c r="BF30" i="47" s="1"/>
  <c r="BD32" i="47"/>
  <c r="BD32" i="58" s="1"/>
  <c r="BD33" i="47"/>
  <c r="BD33" i="58" s="1"/>
  <c r="BF28" i="47"/>
  <c r="BG28" i="47"/>
  <c r="BH28" i="47"/>
  <c r="BI28" i="47"/>
  <c r="O15" i="47"/>
  <c r="O15" i="58" s="1"/>
  <c r="O16" i="47"/>
  <c r="O16" i="58" s="1"/>
  <c r="O17" i="47"/>
  <c r="O17" i="58" s="1"/>
  <c r="O18" i="47"/>
  <c r="O18" i="58" s="1"/>
  <c r="O22" i="47"/>
  <c r="O22" i="58" s="1"/>
  <c r="O27" i="47"/>
  <c r="O27" i="58" s="1"/>
  <c r="O30" i="47"/>
  <c r="O30" i="58" s="1"/>
  <c r="O31" i="47"/>
  <c r="O31" i="58" s="1"/>
  <c r="O32" i="47"/>
  <c r="O32" i="58" s="1"/>
  <c r="W15" i="47"/>
  <c r="W15" i="58" s="1"/>
  <c r="W16" i="47"/>
  <c r="W16" i="58" s="1"/>
  <c r="W17" i="47"/>
  <c r="W17" i="58" s="1"/>
  <c r="W18" i="47"/>
  <c r="W18" i="58" s="1"/>
  <c r="W22" i="47"/>
  <c r="W22" i="58" s="1"/>
  <c r="W27" i="47"/>
  <c r="W27" i="58" s="1"/>
  <c r="W30" i="47"/>
  <c r="W30" i="58" s="1"/>
  <c r="W31" i="47"/>
  <c r="W31" i="58" s="1"/>
  <c r="W32" i="47"/>
  <c r="W32" i="58" s="1"/>
  <c r="AE15" i="47"/>
  <c r="AE15" i="58" s="1"/>
  <c r="AE16" i="47"/>
  <c r="AE17" i="47"/>
  <c r="AE17" i="58" s="1"/>
  <c r="AE18" i="47"/>
  <c r="AE18" i="58" s="1"/>
  <c r="AE22" i="47"/>
  <c r="AE22" i="58" s="1"/>
  <c r="AE27" i="47"/>
  <c r="AE27" i="58" s="1"/>
  <c r="AE30" i="47"/>
  <c r="AE30" i="58" s="1"/>
  <c r="AE31" i="47"/>
  <c r="AE31" i="58" s="1"/>
  <c r="AE32" i="47"/>
  <c r="AE32" i="58" s="1"/>
  <c r="AM15" i="47"/>
  <c r="AM15" i="58" s="1"/>
  <c r="AM16" i="47"/>
  <c r="AM16" i="58" s="1"/>
  <c r="AM17" i="47"/>
  <c r="AM17" i="58" s="1"/>
  <c r="AM18" i="47"/>
  <c r="AM18" i="58" s="1"/>
  <c r="AM22" i="47"/>
  <c r="AM22" i="58" s="1"/>
  <c r="AM27" i="47"/>
  <c r="AM27" i="58" s="1"/>
  <c r="AM30" i="47"/>
  <c r="AM30" i="58" s="1"/>
  <c r="AM31" i="47"/>
  <c r="AM31" i="58" s="1"/>
  <c r="AM32" i="47"/>
  <c r="AU15" i="47"/>
  <c r="AU15" i="58" s="1"/>
  <c r="AU16" i="47"/>
  <c r="AU16" i="58" s="1"/>
  <c r="AU17" i="47"/>
  <c r="AU17" i="58" s="1"/>
  <c r="AU18" i="47"/>
  <c r="AU18" i="58" s="1"/>
  <c r="AU22" i="47"/>
  <c r="AU22" i="58" s="1"/>
  <c r="AU27" i="47"/>
  <c r="AU27" i="58" s="1"/>
  <c r="AU30" i="47"/>
  <c r="AU30" i="58" s="1"/>
  <c r="AU31" i="47"/>
  <c r="AU31" i="58" s="1"/>
  <c r="AU32" i="47"/>
  <c r="AU32" i="58" s="1"/>
  <c r="BC15" i="47"/>
  <c r="BC15" i="58" s="1"/>
  <c r="BC16" i="47"/>
  <c r="BC16" i="58" s="1"/>
  <c r="BC17" i="47"/>
  <c r="BC17" i="58" s="1"/>
  <c r="BC18" i="47"/>
  <c r="BC18" i="58" s="1"/>
  <c r="BC22" i="47"/>
  <c r="BC22" i="58" s="1"/>
  <c r="BC27" i="47"/>
  <c r="BC27" i="58" s="1"/>
  <c r="BC30" i="47"/>
  <c r="BC30" i="58" s="1"/>
  <c r="BC31" i="47"/>
  <c r="BC31" i="58" s="1"/>
  <c r="BC32" i="47"/>
  <c r="BC32" i="58" s="1"/>
  <c r="G61" i="47"/>
  <c r="G61" i="58" s="1"/>
  <c r="O61" i="47"/>
  <c r="O61" i="58" s="1"/>
  <c r="W61" i="47"/>
  <c r="W61" i="58" s="1"/>
  <c r="AE61" i="47"/>
  <c r="AE61" i="58" s="1"/>
  <c r="AM61" i="47"/>
  <c r="AM61" i="58" s="1"/>
  <c r="AU61" i="47"/>
  <c r="AU61" i="58" s="1"/>
  <c r="BC61" i="47"/>
  <c r="BC61" i="58" s="1"/>
  <c r="G59" i="47"/>
  <c r="O59" i="47"/>
  <c r="O59" i="58" s="1"/>
  <c r="W59" i="47"/>
  <c r="W59" i="58" s="1"/>
  <c r="AE59" i="47"/>
  <c r="AE59" i="58" s="1"/>
  <c r="AM59" i="47"/>
  <c r="AM59" i="58" s="1"/>
  <c r="AU59" i="47"/>
  <c r="AU59" i="58" s="1"/>
  <c r="BC59" i="47"/>
  <c r="BC59" i="58" s="1"/>
  <c r="P59" i="47"/>
  <c r="P59" i="58" s="1"/>
  <c r="X59" i="47"/>
  <c r="AF59" i="47"/>
  <c r="AF59" i="58" s="1"/>
  <c r="AN59" i="47"/>
  <c r="AN59" i="58" s="1"/>
  <c r="AV59" i="47"/>
  <c r="AV59" i="58" s="1"/>
  <c r="BD59" i="47"/>
  <c r="BD59" i="58" s="1"/>
  <c r="O56" i="47"/>
  <c r="O56" i="58" s="1"/>
  <c r="W56" i="47"/>
  <c r="W56" i="58" s="1"/>
  <c r="AE56" i="47"/>
  <c r="AE56" i="58" s="1"/>
  <c r="AM56" i="47"/>
  <c r="AM56" i="58" s="1"/>
  <c r="AU56" i="47"/>
  <c r="AU56" i="58" s="1"/>
  <c r="BC56" i="47"/>
  <c r="BC56" i="58" s="1"/>
  <c r="G54" i="47"/>
  <c r="G54" i="58" s="1"/>
  <c r="O54" i="47"/>
  <c r="O54" i="58" s="1"/>
  <c r="W54" i="47"/>
  <c r="W54" i="58" s="1"/>
  <c r="AE54" i="47"/>
  <c r="AE54" i="58" s="1"/>
  <c r="AM54" i="47"/>
  <c r="AM54" i="58" s="1"/>
  <c r="AU54" i="47"/>
  <c r="AU54" i="58" s="1"/>
  <c r="BC54" i="47"/>
  <c r="BC54" i="58" s="1"/>
  <c r="P54" i="47"/>
  <c r="X54" i="47"/>
  <c r="X54" i="58" s="1"/>
  <c r="AF54" i="47"/>
  <c r="AF54" i="58" s="1"/>
  <c r="AN54" i="47"/>
  <c r="AN54" i="58" s="1"/>
  <c r="AV54" i="47"/>
  <c r="AV54" i="58" s="1"/>
  <c r="BD54" i="47"/>
  <c r="BD54" i="58" s="1"/>
  <c r="G52" i="47"/>
  <c r="G52" i="58" s="1"/>
  <c r="O52" i="47"/>
  <c r="O52" i="58" s="1"/>
  <c r="W52" i="47"/>
  <c r="W52" i="58" s="1"/>
  <c r="AE52" i="47"/>
  <c r="AE52" i="58" s="1"/>
  <c r="AM52" i="47"/>
  <c r="AM52" i="58" s="1"/>
  <c r="AU52" i="47"/>
  <c r="AU52" i="58" s="1"/>
  <c r="BC52" i="47"/>
  <c r="BC52" i="58" s="1"/>
  <c r="P52" i="47"/>
  <c r="X52" i="47"/>
  <c r="X52" i="58" s="1"/>
  <c r="AF52" i="47"/>
  <c r="AF52" i="58" s="1"/>
  <c r="AN52" i="47"/>
  <c r="AN52" i="58" s="1"/>
  <c r="AV52" i="47"/>
  <c r="AV52" i="58" s="1"/>
  <c r="BD52" i="47"/>
  <c r="BD52" i="58" s="1"/>
  <c r="G51" i="47"/>
  <c r="G51" i="58" s="1"/>
  <c r="H51" i="47"/>
  <c r="H51" i="58" s="1"/>
  <c r="O49" i="47"/>
  <c r="O49" i="58" s="1"/>
  <c r="W49" i="47"/>
  <c r="W49" i="58" s="1"/>
  <c r="AE49" i="47"/>
  <c r="AE49" i="58" s="1"/>
  <c r="AM49" i="47"/>
  <c r="AU49" i="47"/>
  <c r="AU49" i="58" s="1"/>
  <c r="BC49" i="47"/>
  <c r="BC49" i="58" s="1"/>
  <c r="O48" i="47"/>
  <c r="O48" i="58" s="1"/>
  <c r="W48" i="47"/>
  <c r="W48" i="58" s="1"/>
  <c r="AE48" i="47"/>
  <c r="AE48" i="58" s="1"/>
  <c r="AM48" i="47"/>
  <c r="AU48" i="47"/>
  <c r="AU48" i="58" s="1"/>
  <c r="BC48" i="47"/>
  <c r="BC48" i="58" s="1"/>
  <c r="G33" i="47"/>
  <c r="O33" i="47"/>
  <c r="W33" i="47"/>
  <c r="W33" i="58" s="1"/>
  <c r="AE33" i="47"/>
  <c r="AE33" i="58" s="1"/>
  <c r="AM33" i="47"/>
  <c r="AM33" i="58" s="1"/>
  <c r="AU33" i="47"/>
  <c r="AU33" i="58" s="1"/>
  <c r="BC33" i="47"/>
  <c r="BC33" i="58" s="1"/>
  <c r="P31" i="47"/>
  <c r="P31" i="58" s="1"/>
  <c r="X31" i="47"/>
  <c r="X31" i="58" s="1"/>
  <c r="AF31" i="47"/>
  <c r="AN31" i="47"/>
  <c r="AN31" i="58" s="1"/>
  <c r="AV31" i="47"/>
  <c r="AV31" i="58" s="1"/>
  <c r="BD31" i="47"/>
  <c r="BD31" i="58" s="1"/>
  <c r="O28" i="47"/>
  <c r="O28" i="58" s="1"/>
  <c r="W28" i="47"/>
  <c r="W28" i="58" s="1"/>
  <c r="AE28" i="47"/>
  <c r="AE28" i="58" s="1"/>
  <c r="AM28" i="47"/>
  <c r="AM28" i="58" s="1"/>
  <c r="AU28" i="47"/>
  <c r="AU28" i="58" s="1"/>
  <c r="BC28" i="47"/>
  <c r="BC28" i="58" s="1"/>
  <c r="G26" i="47"/>
  <c r="O26" i="47"/>
  <c r="O26" i="58" s="1"/>
  <c r="W26" i="47"/>
  <c r="AE26" i="47"/>
  <c r="AE26" i="58" s="1"/>
  <c r="AM26" i="47"/>
  <c r="AM26" i="58" s="1"/>
  <c r="AU26" i="47"/>
  <c r="AU26" i="58" s="1"/>
  <c r="BC26" i="47"/>
  <c r="BC26" i="58" s="1"/>
  <c r="P26" i="47"/>
  <c r="P26" i="58" s="1"/>
  <c r="X26" i="47"/>
  <c r="X26" i="58" s="1"/>
  <c r="AF26" i="47"/>
  <c r="AF26" i="58" s="1"/>
  <c r="AN26" i="47"/>
  <c r="AN26" i="58" s="1"/>
  <c r="AV26" i="47"/>
  <c r="AV26" i="58" s="1"/>
  <c r="BD26" i="47"/>
  <c r="BD26" i="58" s="1"/>
  <c r="G24" i="47"/>
  <c r="G24" i="58" s="1"/>
  <c r="O24" i="47"/>
  <c r="O24" i="58" s="1"/>
  <c r="W24" i="47"/>
  <c r="W24" i="58" s="1"/>
  <c r="AE24" i="47"/>
  <c r="AE24" i="58" s="1"/>
  <c r="AM24" i="47"/>
  <c r="AM24" i="58" s="1"/>
  <c r="AU24" i="47"/>
  <c r="AU24" i="58" s="1"/>
  <c r="BC24" i="47"/>
  <c r="P24" i="47"/>
  <c r="X24" i="47"/>
  <c r="X24" i="58" s="1"/>
  <c r="AF24" i="47"/>
  <c r="AF24" i="58" s="1"/>
  <c r="AN24" i="47"/>
  <c r="AN24" i="58" s="1"/>
  <c r="AV24" i="47"/>
  <c r="AV24" i="58" s="1"/>
  <c r="BD24" i="47"/>
  <c r="BD24" i="58" s="1"/>
  <c r="G23" i="47"/>
  <c r="G23" i="58" s="1"/>
  <c r="O23" i="47"/>
  <c r="O23" i="58" s="1"/>
  <c r="W23" i="47"/>
  <c r="W23" i="58" s="1"/>
  <c r="AE23" i="47"/>
  <c r="AE23" i="58" s="1"/>
  <c r="AM23" i="47"/>
  <c r="AM23" i="58" s="1"/>
  <c r="AU23" i="47"/>
  <c r="AU23" i="58" s="1"/>
  <c r="BC23" i="47"/>
  <c r="BC23" i="58" s="1"/>
  <c r="H23" i="47"/>
  <c r="H23" i="58" s="1"/>
  <c r="P23" i="47"/>
  <c r="P23" i="58" s="1"/>
  <c r="X23" i="47"/>
  <c r="X23" i="58" s="1"/>
  <c r="AF23" i="47"/>
  <c r="AF23" i="58" s="1"/>
  <c r="AN23" i="47"/>
  <c r="AN23" i="58" s="1"/>
  <c r="AV23" i="47"/>
  <c r="AV23" i="58" s="1"/>
  <c r="BD23" i="47"/>
  <c r="BD23" i="58" s="1"/>
  <c r="P22" i="47"/>
  <c r="P22" i="58" s="1"/>
  <c r="X22" i="47"/>
  <c r="X22" i="58" s="1"/>
  <c r="AF22" i="47"/>
  <c r="AF22" i="58" s="1"/>
  <c r="AN22" i="47"/>
  <c r="AV22" i="47"/>
  <c r="AV22" i="58" s="1"/>
  <c r="BD22" i="47"/>
  <c r="BD22" i="58" s="1"/>
  <c r="O21" i="47"/>
  <c r="O21" i="58" s="1"/>
  <c r="W21" i="47"/>
  <c r="W21" i="58" s="1"/>
  <c r="AE21" i="47"/>
  <c r="AE21" i="58" s="1"/>
  <c r="AM21" i="47"/>
  <c r="AU21" i="47"/>
  <c r="AU21" i="58" s="1"/>
  <c r="BC21" i="47"/>
  <c r="BC21" i="58" s="1"/>
  <c r="O20" i="47"/>
  <c r="O20" i="58" s="1"/>
  <c r="W20" i="47"/>
  <c r="W20" i="58" s="1"/>
  <c r="AE20" i="47"/>
  <c r="AE20" i="58" s="1"/>
  <c r="AM20" i="47"/>
  <c r="AM20" i="58" s="1"/>
  <c r="AU20" i="47"/>
  <c r="BC20" i="47"/>
  <c r="BC20" i="58" s="1"/>
  <c r="P17" i="47"/>
  <c r="P17" i="58" s="1"/>
  <c r="X17" i="47"/>
  <c r="X17" i="58" s="1"/>
  <c r="AF17" i="47"/>
  <c r="AF17" i="58" s="1"/>
  <c r="AN17" i="47"/>
  <c r="AN17" i="58" s="1"/>
  <c r="AV17" i="47"/>
  <c r="AV17" i="58" s="1"/>
  <c r="BD17" i="47"/>
  <c r="BD17" i="58" s="1"/>
  <c r="AE55" i="58"/>
  <c r="AF55" i="58"/>
  <c r="AN55" i="58"/>
  <c r="BD57" i="58"/>
  <c r="BD40" i="58"/>
  <c r="BD41" i="58"/>
  <c r="BC57" i="58"/>
  <c r="BC41" i="58"/>
  <c r="AV57" i="58"/>
  <c r="AV39" i="58"/>
  <c r="AV40" i="58"/>
  <c r="AV41" i="58"/>
  <c r="AV43" i="58"/>
  <c r="AU45" i="58"/>
  <c r="AN57" i="58"/>
  <c r="AN39" i="58"/>
  <c r="AN40" i="58"/>
  <c r="AN41" i="58"/>
  <c r="AM40" i="58"/>
  <c r="AM45" i="58"/>
  <c r="AF57" i="58"/>
  <c r="AF60" i="58"/>
  <c r="AF40" i="58"/>
  <c r="AF41" i="58"/>
  <c r="AF43" i="58"/>
  <c r="AF45" i="58"/>
  <c r="AE40" i="58"/>
  <c r="AE46" i="58"/>
  <c r="AE58" i="58"/>
  <c r="X59" i="58"/>
  <c r="AA57" i="58"/>
  <c r="X57" i="58"/>
  <c r="X39" i="58"/>
  <c r="X41" i="58"/>
  <c r="X42" i="58"/>
  <c r="W44" i="58"/>
  <c r="W46" i="58"/>
  <c r="P39" i="58"/>
  <c r="P41" i="58"/>
  <c r="P42" i="58"/>
  <c r="P57" i="58"/>
  <c r="O46" i="58"/>
  <c r="BI22" i="58"/>
  <c r="BH22" i="58"/>
  <c r="BG22" i="58"/>
  <c r="BF22" i="58"/>
  <c r="BE22" i="58"/>
  <c r="BD30" i="58"/>
  <c r="BA22" i="58"/>
  <c r="AZ22" i="58"/>
  <c r="AY22" i="58"/>
  <c r="AX22" i="58"/>
  <c r="AW22" i="58"/>
  <c r="AS22" i="58"/>
  <c r="AR22" i="58"/>
  <c r="AQ22" i="58"/>
  <c r="AP22" i="58"/>
  <c r="AO22" i="58"/>
  <c r="AN22" i="58"/>
  <c r="AM32" i="58"/>
  <c r="AK22" i="58"/>
  <c r="AJ22" i="58"/>
  <c r="AI22" i="58"/>
  <c r="AH22" i="58"/>
  <c r="AG22" i="58"/>
  <c r="AF31" i="58"/>
  <c r="AE16" i="58"/>
  <c r="AC22" i="58"/>
  <c r="AB22" i="58"/>
  <c r="AA22" i="58"/>
  <c r="Z22" i="58"/>
  <c r="Y22" i="58"/>
  <c r="U22" i="58"/>
  <c r="T22" i="58"/>
  <c r="S22" i="58"/>
  <c r="R22" i="58"/>
  <c r="G10" i="40"/>
  <c r="G62" i="40" s="1"/>
  <c r="C19" i="52"/>
  <c r="F20" i="45"/>
  <c r="BC8" i="58"/>
  <c r="BC7" i="58"/>
  <c r="BC8" i="57"/>
  <c r="O17" i="7"/>
  <c r="O27" i="7"/>
  <c r="O38" i="7"/>
  <c r="O45" i="7"/>
  <c r="O53" i="7"/>
  <c r="O81" i="7"/>
  <c r="D52" i="56"/>
  <c r="E14" i="56"/>
  <c r="E22" i="56"/>
  <c r="E30" i="56"/>
  <c r="E38" i="56"/>
  <c r="E45" i="56"/>
  <c r="E52" i="56"/>
  <c r="F30" i="56"/>
  <c r="F38" i="56"/>
  <c r="F22" i="56"/>
  <c r="F45" i="56"/>
  <c r="F52" i="56"/>
  <c r="G14" i="56"/>
  <c r="G30" i="56"/>
  <c r="G38" i="56"/>
  <c r="G22" i="56"/>
  <c r="G45" i="56"/>
  <c r="G52" i="56"/>
  <c r="H14" i="56"/>
  <c r="H30" i="56"/>
  <c r="H38" i="56"/>
  <c r="H22" i="56"/>
  <c r="H45" i="56"/>
  <c r="H52" i="56"/>
  <c r="I14" i="56"/>
  <c r="I30" i="56"/>
  <c r="I38" i="56"/>
  <c r="I22" i="56"/>
  <c r="I45" i="56"/>
  <c r="I52" i="56"/>
  <c r="BC8" i="47"/>
  <c r="N5" i="45"/>
  <c r="N4" i="45"/>
  <c r="G36" i="1"/>
  <c r="H14" i="40"/>
  <c r="N8" i="40"/>
  <c r="N7" i="40"/>
  <c r="H14" i="46"/>
  <c r="N8" i="46"/>
  <c r="N7" i="46"/>
  <c r="D19" i="52"/>
  <c r="O34" i="19"/>
  <c r="N34" i="19"/>
  <c r="M34" i="19"/>
  <c r="L34" i="19"/>
  <c r="K34" i="19"/>
  <c r="J34" i="19"/>
  <c r="I34" i="19"/>
  <c r="BD56" i="58"/>
  <c r="BD20" i="58"/>
  <c r="BC24" i="58"/>
  <c r="AV49" i="58"/>
  <c r="AV61" i="58"/>
  <c r="AV20" i="58"/>
  <c r="AU20" i="58"/>
  <c r="AN61" i="58"/>
  <c r="AN28" i="58"/>
  <c r="AN33" i="58"/>
  <c r="AM48" i="58"/>
  <c r="AM49" i="58"/>
  <c r="AM21" i="58"/>
  <c r="AF48" i="58"/>
  <c r="AF61" i="58"/>
  <c r="AB48" i="58"/>
  <c r="AA49" i="58"/>
  <c r="X56" i="58"/>
  <c r="X61" i="58"/>
  <c r="X21" i="58"/>
  <c r="W26" i="58"/>
  <c r="P61" i="58"/>
  <c r="P56" i="58"/>
  <c r="P54" i="58"/>
  <c r="P52" i="58"/>
  <c r="H61" i="58"/>
  <c r="O33" i="58"/>
  <c r="P24" i="58"/>
  <c r="H33" i="58"/>
  <c r="G33" i="58"/>
  <c r="G26" i="58"/>
  <c r="AU7" i="58"/>
  <c r="AM7" i="58"/>
  <c r="AE7" i="58"/>
  <c r="W7" i="58"/>
  <c r="O7" i="58"/>
  <c r="AU8" i="58"/>
  <c r="AM8" i="58"/>
  <c r="AE8" i="58"/>
  <c r="W8" i="58"/>
  <c r="O8" i="58"/>
  <c r="S17" i="57"/>
  <c r="T17" i="57"/>
  <c r="AA17" i="57"/>
  <c r="AB17" i="57"/>
  <c r="BD65" i="57"/>
  <c r="BC65" i="57"/>
  <c r="AV65" i="57"/>
  <c r="AU65" i="57"/>
  <c r="AN65" i="57"/>
  <c r="AM65" i="57"/>
  <c r="AF65" i="57"/>
  <c r="AE65" i="57"/>
  <c r="X65" i="57"/>
  <c r="X67" i="57" s="1"/>
  <c r="W65" i="57"/>
  <c r="J29" i="56"/>
  <c r="J28" i="56"/>
  <c r="J27" i="56"/>
  <c r="J26" i="56"/>
  <c r="J25" i="56"/>
  <c r="J24" i="56"/>
  <c r="J23" i="56"/>
  <c r="W8" i="57"/>
  <c r="AE8" i="57"/>
  <c r="AM8" i="57"/>
  <c r="AU8" i="57"/>
  <c r="P64" i="57"/>
  <c r="P65" i="57"/>
  <c r="O64" i="57"/>
  <c r="O65" i="57"/>
  <c r="H68" i="57"/>
  <c r="G68" i="57"/>
  <c r="H67" i="57"/>
  <c r="G67" i="57"/>
  <c r="N38" i="57"/>
  <c r="O8" i="57"/>
  <c r="J58" i="56"/>
  <c r="J57" i="56"/>
  <c r="J56" i="56"/>
  <c r="J55" i="56"/>
  <c r="J54" i="56"/>
  <c r="J53" i="56"/>
  <c r="J51" i="56"/>
  <c r="J50" i="56"/>
  <c r="J49" i="56"/>
  <c r="J48" i="56"/>
  <c r="J47" i="56"/>
  <c r="J46" i="56"/>
  <c r="J44" i="56"/>
  <c r="J43" i="56"/>
  <c r="J42" i="56"/>
  <c r="J41" i="56"/>
  <c r="J40" i="56"/>
  <c r="J39" i="56"/>
  <c r="J37" i="56"/>
  <c r="J36" i="56"/>
  <c r="J35" i="56"/>
  <c r="J34" i="56"/>
  <c r="J33" i="56"/>
  <c r="J32" i="56"/>
  <c r="J31" i="56"/>
  <c r="J17" i="56"/>
  <c r="J21" i="56"/>
  <c r="J20" i="56"/>
  <c r="J19" i="56"/>
  <c r="J18" i="56"/>
  <c r="J16" i="56"/>
  <c r="I14" i="6"/>
  <c r="H14" i="6"/>
  <c r="G14" i="6"/>
  <c r="F14" i="6"/>
  <c r="E14" i="6"/>
  <c r="D45" i="56"/>
  <c r="D38" i="56"/>
  <c r="D30" i="56"/>
  <c r="D22" i="56"/>
  <c r="D14" i="56"/>
  <c r="F54" i="45"/>
  <c r="F63" i="45"/>
  <c r="H63" i="45" s="1"/>
  <c r="R9" i="7"/>
  <c r="Z9" i="7" s="1"/>
  <c r="F60" i="7"/>
  <c r="F50" i="7"/>
  <c r="F49" i="7"/>
  <c r="F32" i="7"/>
  <c r="F31" i="7"/>
  <c r="F22" i="7"/>
  <c r="F21" i="7"/>
  <c r="H12" i="46"/>
  <c r="I7" i="40"/>
  <c r="I8" i="40"/>
  <c r="N33" i="46"/>
  <c r="N61" i="46" s="1"/>
  <c r="N10" i="46"/>
  <c r="N62" i="46" s="1"/>
  <c r="M33" i="46"/>
  <c r="M61" i="46" s="1"/>
  <c r="M10" i="46"/>
  <c r="M62" i="46" s="1"/>
  <c r="L33" i="46"/>
  <c r="L61" i="46" s="1"/>
  <c r="L10" i="46"/>
  <c r="L62" i="46" s="1"/>
  <c r="K33" i="46"/>
  <c r="K61" i="46" s="1"/>
  <c r="K10" i="46"/>
  <c r="K62" i="46" s="1"/>
  <c r="J33" i="46"/>
  <c r="J61" i="46" s="1"/>
  <c r="J10" i="46"/>
  <c r="J62" i="46" s="1"/>
  <c r="I10" i="46"/>
  <c r="I62" i="46" s="1"/>
  <c r="N33" i="40"/>
  <c r="N61" i="40" s="1"/>
  <c r="N10" i="40"/>
  <c r="N62" i="40" s="1"/>
  <c r="M33" i="40"/>
  <c r="M61" i="40" s="1"/>
  <c r="M10" i="40"/>
  <c r="M62" i="40" s="1"/>
  <c r="L33" i="40"/>
  <c r="L61" i="40" s="1"/>
  <c r="L10" i="40"/>
  <c r="L62" i="40" s="1"/>
  <c r="K33" i="40"/>
  <c r="K61" i="40" s="1"/>
  <c r="K10" i="40"/>
  <c r="K62" i="40" s="1"/>
  <c r="J33" i="40"/>
  <c r="J61" i="40" s="1"/>
  <c r="J10" i="40"/>
  <c r="J62" i="40" s="1"/>
  <c r="I61" i="40"/>
  <c r="I4" i="45"/>
  <c r="J4" i="45"/>
  <c r="K4" i="45"/>
  <c r="L4" i="45"/>
  <c r="M4" i="45"/>
  <c r="I5" i="45"/>
  <c r="J5" i="45"/>
  <c r="K5" i="45"/>
  <c r="L5" i="45"/>
  <c r="M5" i="45"/>
  <c r="G10" i="46"/>
  <c r="G62" i="46" s="1"/>
  <c r="H58" i="46"/>
  <c r="H57" i="46"/>
  <c r="H56" i="46"/>
  <c r="H55" i="46"/>
  <c r="H54" i="46"/>
  <c r="H52" i="46"/>
  <c r="H51" i="46"/>
  <c r="H49" i="46"/>
  <c r="H48" i="46"/>
  <c r="H47" i="46"/>
  <c r="H46" i="46"/>
  <c r="H45" i="46"/>
  <c r="H43" i="46"/>
  <c r="H42" i="46"/>
  <c r="H41" i="46"/>
  <c r="H40" i="46"/>
  <c r="H39" i="46"/>
  <c r="H37" i="46"/>
  <c r="H36" i="46"/>
  <c r="H30" i="46"/>
  <c r="H29" i="46"/>
  <c r="H28" i="46"/>
  <c r="H27" i="46"/>
  <c r="H24" i="46"/>
  <c r="H23" i="46"/>
  <c r="H21" i="46"/>
  <c r="H20" i="46"/>
  <c r="H19" i="46"/>
  <c r="H18" i="46"/>
  <c r="H17" i="46"/>
  <c r="H15" i="46"/>
  <c r="H13" i="46"/>
  <c r="H17" i="40"/>
  <c r="H46" i="40"/>
  <c r="H18" i="40"/>
  <c r="H49" i="40"/>
  <c r="H21" i="40"/>
  <c r="F10" i="45"/>
  <c r="H12" i="19" s="1"/>
  <c r="H17" i="19" s="1"/>
  <c r="F42" i="45"/>
  <c r="H33" i="19" s="1"/>
  <c r="H39" i="19"/>
  <c r="F20" i="7"/>
  <c r="H43" i="1"/>
  <c r="G38" i="46" s="1"/>
  <c r="G53" i="46"/>
  <c r="H56" i="47" s="1"/>
  <c r="L43" i="1"/>
  <c r="BH41" i="47" s="1"/>
  <c r="I43" i="1"/>
  <c r="I41" i="47" s="1"/>
  <c r="J43" i="1"/>
  <c r="BF41" i="47" s="1"/>
  <c r="K43" i="1"/>
  <c r="BG41" i="47" s="1"/>
  <c r="M43" i="1"/>
  <c r="BI41" i="47" s="1"/>
  <c r="BI41" i="58" s="1"/>
  <c r="G43" i="1"/>
  <c r="G38" i="40" s="1"/>
  <c r="G35" i="40" s="1"/>
  <c r="G53" i="40"/>
  <c r="G56" i="47" s="1"/>
  <c r="H30" i="40"/>
  <c r="H23" i="40"/>
  <c r="H20" i="40"/>
  <c r="H19" i="40"/>
  <c r="H56" i="40"/>
  <c r="H51" i="40"/>
  <c r="H48" i="40"/>
  <c r="H12" i="26"/>
  <c r="I12" i="26"/>
  <c r="J12" i="26"/>
  <c r="K12" i="26"/>
  <c r="L12" i="26"/>
  <c r="AU8" i="47"/>
  <c r="AM8" i="47"/>
  <c r="AE8" i="47"/>
  <c r="W8" i="47"/>
  <c r="O8" i="47"/>
  <c r="M8" i="46"/>
  <c r="L8" i="46"/>
  <c r="K8" i="46"/>
  <c r="J8" i="46"/>
  <c r="I8" i="46"/>
  <c r="M7" i="46"/>
  <c r="L7" i="46"/>
  <c r="K7" i="46"/>
  <c r="J7" i="46"/>
  <c r="I7" i="46"/>
  <c r="M8" i="40"/>
  <c r="L8" i="40"/>
  <c r="K8" i="40"/>
  <c r="J8" i="40"/>
  <c r="M7" i="40"/>
  <c r="L7" i="40"/>
  <c r="K7" i="40"/>
  <c r="J7" i="40"/>
  <c r="K38" i="19"/>
  <c r="L38" i="19" s="1"/>
  <c r="M38" i="19" s="1"/>
  <c r="N38" i="19" s="1"/>
  <c r="O38" i="19" s="1"/>
  <c r="M7" i="19"/>
  <c r="N7" i="19"/>
  <c r="O7" i="19"/>
  <c r="K6" i="19"/>
  <c r="L6" i="19" s="1"/>
  <c r="M6" i="19" s="1"/>
  <c r="N6" i="19" s="1"/>
  <c r="O6" i="19" s="1"/>
  <c r="N97" i="19"/>
  <c r="N92" i="19"/>
  <c r="H20" i="45"/>
  <c r="G12" i="26"/>
  <c r="D22" i="52"/>
  <c r="D21" i="52"/>
  <c r="D20" i="52"/>
  <c r="D18" i="52"/>
  <c r="D17" i="52"/>
  <c r="D16" i="52"/>
  <c r="D15" i="52"/>
  <c r="C22" i="52"/>
  <c r="C21" i="52"/>
  <c r="C20" i="52"/>
  <c r="C18" i="52"/>
  <c r="C17" i="52"/>
  <c r="C16" i="52"/>
  <c r="C15" i="52"/>
  <c r="C14" i="52"/>
  <c r="D14" i="52"/>
  <c r="E17" i="7"/>
  <c r="E53" i="7"/>
  <c r="E45" i="7"/>
  <c r="E38" i="7"/>
  <c r="E27" i="7"/>
  <c r="H58" i="40"/>
  <c r="H57" i="40"/>
  <c r="H55" i="40"/>
  <c r="H54" i="40"/>
  <c r="H52" i="40"/>
  <c r="H47" i="40"/>
  <c r="H45" i="40"/>
  <c r="H43" i="40"/>
  <c r="H42" i="40"/>
  <c r="H41" i="40"/>
  <c r="H40" i="40"/>
  <c r="H39" i="40"/>
  <c r="H37" i="40"/>
  <c r="H36" i="40"/>
  <c r="H29" i="40"/>
  <c r="H28" i="40"/>
  <c r="H27" i="40"/>
  <c r="H25" i="40"/>
  <c r="H24" i="40"/>
  <c r="H15" i="40"/>
  <c r="H13" i="40"/>
  <c r="H44" i="45"/>
  <c r="H43" i="45"/>
  <c r="H12" i="40"/>
  <c r="H6" i="52"/>
  <c r="I6" i="52" s="1"/>
  <c r="J6" i="52" s="1"/>
  <c r="K6" i="52" s="1"/>
  <c r="L6" i="52" s="1"/>
  <c r="H6" i="26"/>
  <c r="I6" i="26" s="1"/>
  <c r="J6" i="26" s="1"/>
  <c r="K6" i="26" s="1"/>
  <c r="L6" i="26" s="1"/>
  <c r="E12" i="6"/>
  <c r="F12" i="6" s="1"/>
  <c r="G12" i="6" s="1"/>
  <c r="H12" i="6" s="1"/>
  <c r="I12" i="6" s="1"/>
  <c r="M53" i="1"/>
  <c r="L53" i="1"/>
  <c r="K53" i="1"/>
  <c r="J53" i="1"/>
  <c r="I53" i="1"/>
  <c r="F56" i="7"/>
  <c r="M42" i="1"/>
  <c r="L42" i="1"/>
  <c r="K42" i="1"/>
  <c r="J42" i="1"/>
  <c r="I42" i="1"/>
  <c r="M33" i="1"/>
  <c r="L33" i="1"/>
  <c r="K33" i="1"/>
  <c r="J33" i="1"/>
  <c r="I33" i="1"/>
  <c r="M20" i="1"/>
  <c r="C16" i="32"/>
  <c r="D16" i="32"/>
  <c r="I20" i="1"/>
  <c r="J20" i="1"/>
  <c r="K20" i="1"/>
  <c r="L20" i="1"/>
  <c r="F61" i="7"/>
  <c r="F78" i="7"/>
  <c r="F79" i="7"/>
  <c r="F30" i="7"/>
  <c r="F33" i="7"/>
  <c r="F35" i="7"/>
  <c r="F36" i="7"/>
  <c r="F84" i="7"/>
  <c r="F85" i="7"/>
  <c r="F41" i="7"/>
  <c r="F42" i="7"/>
  <c r="F43" i="7"/>
  <c r="F48" i="7"/>
  <c r="F51" i="7"/>
  <c r="F23" i="7"/>
  <c r="F24" i="7"/>
  <c r="F25" i="7"/>
  <c r="K7" i="19"/>
  <c r="L7" i="19"/>
  <c r="C90" i="19"/>
  <c r="D90" i="19"/>
  <c r="C91" i="19"/>
  <c r="D91" i="19"/>
  <c r="C92" i="19"/>
  <c r="D92" i="19"/>
  <c r="H92" i="19"/>
  <c r="I92" i="19"/>
  <c r="J92" i="19"/>
  <c r="K92" i="19"/>
  <c r="L92" i="19"/>
  <c r="M92" i="19"/>
  <c r="O92" i="19"/>
  <c r="H97" i="19"/>
  <c r="I97" i="19"/>
  <c r="J97" i="19"/>
  <c r="K97" i="19"/>
  <c r="L97" i="19"/>
  <c r="M97" i="19"/>
  <c r="O97" i="19"/>
  <c r="C102" i="19"/>
  <c r="D102" i="19"/>
  <c r="BG56" i="58" l="1"/>
  <c r="BD44" i="58"/>
  <c r="AN44" i="58"/>
  <c r="S57" i="7"/>
  <c r="S58" i="7"/>
  <c r="S65" i="7"/>
  <c r="S75" i="7"/>
  <c r="S69" i="7"/>
  <c r="S72" i="7"/>
  <c r="S74" i="7"/>
  <c r="S71" i="7"/>
  <c r="S68" i="7"/>
  <c r="S64" i="7"/>
  <c r="S73" i="7"/>
  <c r="S34" i="7"/>
  <c r="S59" i="7"/>
  <c r="F38" i="7"/>
  <c r="H25" i="46"/>
  <c r="BE41" i="47"/>
  <c r="BE41" i="58" s="1"/>
  <c r="U40" i="57"/>
  <c r="U40" i="58" s="1"/>
  <c r="Q43" i="57"/>
  <c r="BH41" i="57"/>
  <c r="BH41" i="58" s="1"/>
  <c r="S41" i="57"/>
  <c r="S41" i="58" s="1"/>
  <c r="BG39" i="57"/>
  <c r="AB43" i="57"/>
  <c r="AC42" i="57"/>
  <c r="BG41" i="57"/>
  <c r="AB41" i="57"/>
  <c r="AC40" i="57"/>
  <c r="BF39" i="57"/>
  <c r="Y81" i="7"/>
  <c r="BD67" i="57"/>
  <c r="Z39" i="57"/>
  <c r="Z39" i="58" s="1"/>
  <c r="Y39" i="57"/>
  <c r="Y39" i="58" s="1"/>
  <c r="R39" i="57"/>
  <c r="R39" i="58" s="1"/>
  <c r="AB39" i="57"/>
  <c r="Y41" i="57"/>
  <c r="Y40" i="57"/>
  <c r="AB40" i="57"/>
  <c r="AC39" i="57"/>
  <c r="B52" i="45"/>
  <c r="I14" i="1"/>
  <c r="AU68" i="57"/>
  <c r="W68" i="57"/>
  <c r="BD39" i="58"/>
  <c r="AQ28" i="47"/>
  <c r="Q28" i="47"/>
  <c r="AR41" i="47"/>
  <c r="R56" i="47"/>
  <c r="AF30" i="58"/>
  <c r="AP28" i="47"/>
  <c r="AQ56" i="47"/>
  <c r="R41" i="47"/>
  <c r="R38" i="47" s="1"/>
  <c r="U28" i="47"/>
  <c r="AQ41" i="47"/>
  <c r="AO41" i="47"/>
  <c r="AO38" i="47" s="1"/>
  <c r="U56" i="47"/>
  <c r="T28" i="47"/>
  <c r="AP56" i="47"/>
  <c r="U41" i="47"/>
  <c r="Q56" i="47"/>
  <c r="Q55" i="47" s="1"/>
  <c r="T56" i="47"/>
  <c r="R28" i="47"/>
  <c r="AS56" i="47"/>
  <c r="T41" i="47"/>
  <c r="T38" i="47" s="1"/>
  <c r="AS28" i="47"/>
  <c r="AS41" i="47"/>
  <c r="F53" i="7"/>
  <c r="F45" i="7"/>
  <c r="F27" i="7"/>
  <c r="F81" i="7"/>
  <c r="M14" i="7"/>
  <c r="N8" i="19" s="1"/>
  <c r="G28" i="52"/>
  <c r="AK57" i="47"/>
  <c r="AJ57" i="58"/>
  <c r="L33" i="47"/>
  <c r="M33" i="47" s="1"/>
  <c r="BE42" i="47"/>
  <c r="BF42" i="47" s="1"/>
  <c r="BG42" i="47" s="1"/>
  <c r="BH42" i="47" s="1"/>
  <c r="BI42" i="47" s="1"/>
  <c r="BI42" i="58" s="1"/>
  <c r="Y33" i="57"/>
  <c r="AN42" i="58"/>
  <c r="F65" i="52"/>
  <c r="G65" i="52" s="1"/>
  <c r="H65" i="52" s="1"/>
  <c r="I65" i="52" s="1"/>
  <c r="J65" i="52" s="1"/>
  <c r="K65" i="52" s="1"/>
  <c r="L65" i="52" s="1"/>
  <c r="AI57" i="58"/>
  <c r="AZ47" i="57"/>
  <c r="AZ47" i="58" s="1"/>
  <c r="AY47" i="57"/>
  <c r="AY47" i="58" s="1"/>
  <c r="AW47" i="57"/>
  <c r="AW47" i="58" s="1"/>
  <c r="AW19" i="57"/>
  <c r="AW19" i="58" s="1"/>
  <c r="BA18" i="57"/>
  <c r="BA47" i="57"/>
  <c r="BA47" i="58" s="1"/>
  <c r="AY18" i="57"/>
  <c r="AX47" i="57"/>
  <c r="AX47" i="58" s="1"/>
  <c r="AX18" i="57"/>
  <c r="AW18" i="57"/>
  <c r="AZ18" i="57"/>
  <c r="BI47" i="57"/>
  <c r="BI47" i="58" s="1"/>
  <c r="BI18" i="57"/>
  <c r="BH47" i="57"/>
  <c r="BH47" i="58" s="1"/>
  <c r="BH18" i="57"/>
  <c r="BG47" i="57"/>
  <c r="BG47" i="58" s="1"/>
  <c r="BG18" i="57"/>
  <c r="BF47" i="57"/>
  <c r="BF47" i="58" s="1"/>
  <c r="BE47" i="57"/>
  <c r="BE47" i="58" s="1"/>
  <c r="BE18" i="57"/>
  <c r="BF18" i="57"/>
  <c r="I65" i="40"/>
  <c r="BD61" i="58"/>
  <c r="AF42" i="58"/>
  <c r="H27" i="58"/>
  <c r="I27" i="47"/>
  <c r="AS44" i="58"/>
  <c r="F78" i="45"/>
  <c r="F8" i="45"/>
  <c r="I8" i="19"/>
  <c r="H54" i="45"/>
  <c r="F80" i="45"/>
  <c r="X14" i="7" s="1"/>
  <c r="X40" i="58"/>
  <c r="P46" i="58"/>
  <c r="Q46" i="47"/>
  <c r="AC57" i="58"/>
  <c r="BH56" i="58"/>
  <c r="S42" i="58"/>
  <c r="P40" i="58"/>
  <c r="AI30" i="58"/>
  <c r="S39" i="57"/>
  <c r="Q47" i="57"/>
  <c r="Q47" i="58" s="1"/>
  <c r="T18" i="57"/>
  <c r="S18" i="57"/>
  <c r="U47" i="57"/>
  <c r="U47" i="58" s="1"/>
  <c r="T47" i="57"/>
  <c r="T47" i="58" s="1"/>
  <c r="U18" i="57"/>
  <c r="S47" i="57"/>
  <c r="S47" i="58" s="1"/>
  <c r="R18" i="57"/>
  <c r="R47" i="57"/>
  <c r="R47" i="58" s="1"/>
  <c r="Q19" i="57"/>
  <c r="Q19" i="58" s="1"/>
  <c r="Q18" i="57"/>
  <c r="P38" i="47"/>
  <c r="AN68" i="57"/>
  <c r="BF57" i="58"/>
  <c r="Z57" i="58"/>
  <c r="BF56" i="58"/>
  <c r="AA47" i="57"/>
  <c r="AA47" i="58" s="1"/>
  <c r="Z47" i="57"/>
  <c r="Z47" i="58" s="1"/>
  <c r="Y19" i="57"/>
  <c r="Y19" i="58" s="1"/>
  <c r="AC47" i="57"/>
  <c r="AC47" i="58" s="1"/>
  <c r="AC18" i="57"/>
  <c r="AB47" i="57"/>
  <c r="AB47" i="58" s="1"/>
  <c r="AB18" i="57"/>
  <c r="Y47" i="57"/>
  <c r="Y47" i="58" s="1"/>
  <c r="AA18" i="57"/>
  <c r="Y18" i="57"/>
  <c r="Z18" i="57"/>
  <c r="I65" i="46"/>
  <c r="L65" i="46"/>
  <c r="BD42" i="58"/>
  <c r="AZ16" i="58"/>
  <c r="AK47" i="57"/>
  <c r="AK47" i="58" s="1"/>
  <c r="AG47" i="57"/>
  <c r="AG47" i="58" s="1"/>
  <c r="AJ18" i="57"/>
  <c r="AI18" i="57"/>
  <c r="AH18" i="57"/>
  <c r="AG18" i="57"/>
  <c r="AJ47" i="57"/>
  <c r="AJ47" i="58" s="1"/>
  <c r="AG19" i="57"/>
  <c r="AG19" i="58" s="1"/>
  <c r="AI47" i="57"/>
  <c r="AI47" i="58" s="1"/>
  <c r="AK18" i="57"/>
  <c r="AH47" i="57"/>
  <c r="AH47" i="58" s="1"/>
  <c r="N65" i="40"/>
  <c r="AF68" i="57"/>
  <c r="AY57" i="58"/>
  <c r="U57" i="58"/>
  <c r="AO47" i="57"/>
  <c r="AO47" i="58" s="1"/>
  <c r="AP18" i="57"/>
  <c r="AS47" i="57"/>
  <c r="AS47" i="58" s="1"/>
  <c r="AO18" i="57"/>
  <c r="AR47" i="57"/>
  <c r="AR47" i="58" s="1"/>
  <c r="AQ47" i="57"/>
  <c r="AQ47" i="58" s="1"/>
  <c r="AP47" i="57"/>
  <c r="AP47" i="58" s="1"/>
  <c r="AO19" i="57"/>
  <c r="AO19" i="58" s="1"/>
  <c r="AS18" i="57"/>
  <c r="AR18" i="57"/>
  <c r="AQ18" i="57"/>
  <c r="E39" i="7"/>
  <c r="E28" i="7"/>
  <c r="E40" i="7"/>
  <c r="E54" i="7"/>
  <c r="E18" i="7"/>
  <c r="E29" i="7"/>
  <c r="E55" i="7"/>
  <c r="E19" i="7"/>
  <c r="E47" i="7"/>
  <c r="E82" i="7"/>
  <c r="E83" i="7"/>
  <c r="E46" i="7"/>
  <c r="AG56" i="58"/>
  <c r="D9" i="61"/>
  <c r="B5" i="46"/>
  <c r="F6" i="52"/>
  <c r="G20" i="1"/>
  <c r="B5" i="40"/>
  <c r="B74" i="45"/>
  <c r="G33" i="1"/>
  <c r="H11" i="58"/>
  <c r="AC44" i="58"/>
  <c r="T32" i="57"/>
  <c r="Q31" i="57"/>
  <c r="Q31" i="58" s="1"/>
  <c r="S28" i="57"/>
  <c r="S28" i="58" s="1"/>
  <c r="S27" i="57"/>
  <c r="R21" i="57"/>
  <c r="R21" i="58" s="1"/>
  <c r="T20" i="57"/>
  <c r="T20" i="58" s="1"/>
  <c r="S15" i="57"/>
  <c r="R60" i="57"/>
  <c r="Q59" i="57"/>
  <c r="Q56" i="57"/>
  <c r="T49" i="57"/>
  <c r="T49" i="58" s="1"/>
  <c r="S46" i="57"/>
  <c r="R44" i="57"/>
  <c r="R44" i="58" s="1"/>
  <c r="R42" i="57"/>
  <c r="R42" i="58" s="1"/>
  <c r="R41" i="57"/>
  <c r="S40" i="57"/>
  <c r="S40" i="58" s="1"/>
  <c r="Q39" i="57"/>
  <c r="Q39" i="58" s="1"/>
  <c r="R46" i="57"/>
  <c r="U45" i="57"/>
  <c r="Q44" i="57"/>
  <c r="Q44" i="58" s="1"/>
  <c r="T43" i="57"/>
  <c r="Q42" i="57"/>
  <c r="Q42" i="58" s="1"/>
  <c r="Q41" i="57"/>
  <c r="Q41" i="58" s="1"/>
  <c r="R40" i="57"/>
  <c r="R40" i="58" s="1"/>
  <c r="U31" i="57"/>
  <c r="U31" i="58" s="1"/>
  <c r="Q30" i="57"/>
  <c r="S16" i="57"/>
  <c r="T58" i="57"/>
  <c r="S57" i="57"/>
  <c r="S57" i="58" s="1"/>
  <c r="T56" i="57"/>
  <c r="T56" i="58" s="1"/>
  <c r="S55" i="57"/>
  <c r="U48" i="57"/>
  <c r="U48" i="58" s="1"/>
  <c r="Q46" i="57"/>
  <c r="S45" i="57"/>
  <c r="Q40" i="57"/>
  <c r="Q40" i="58" s="1"/>
  <c r="T39" i="57"/>
  <c r="T39" i="58" s="1"/>
  <c r="BF41" i="58"/>
  <c r="T31" i="57"/>
  <c r="T31" i="58" s="1"/>
  <c r="Q28" i="57"/>
  <c r="Q28" i="58" s="1"/>
  <c r="Q21" i="57"/>
  <c r="Q21" i="58" s="1"/>
  <c r="Q16" i="57"/>
  <c r="Q16" i="58" s="1"/>
  <c r="T15" i="57"/>
  <c r="T59" i="57"/>
  <c r="U58" i="57"/>
  <c r="R57" i="57"/>
  <c r="R55" i="57"/>
  <c r="U49" i="57"/>
  <c r="U49" i="58" s="1"/>
  <c r="S48" i="57"/>
  <c r="S48" i="58" s="1"/>
  <c r="R45" i="57"/>
  <c r="T42" i="57"/>
  <c r="T42" i="58" s="1"/>
  <c r="T41" i="57"/>
  <c r="BI45" i="58"/>
  <c r="Q32" i="57"/>
  <c r="S31" i="57"/>
  <c r="S31" i="58" s="1"/>
  <c r="U30" i="57"/>
  <c r="Q27" i="57"/>
  <c r="Q20" i="57"/>
  <c r="T60" i="57"/>
  <c r="S58" i="57"/>
  <c r="Q57" i="57"/>
  <c r="Q57" i="58" s="1"/>
  <c r="Q55" i="57"/>
  <c r="S49" i="57"/>
  <c r="S49" i="58" s="1"/>
  <c r="R48" i="57"/>
  <c r="R48" i="58" s="1"/>
  <c r="T46" i="57"/>
  <c r="Q45" i="57"/>
  <c r="T44" i="57"/>
  <c r="T44" i="58" s="1"/>
  <c r="U43" i="57"/>
  <c r="T40" i="57"/>
  <c r="T40" i="58" s="1"/>
  <c r="U21" i="57"/>
  <c r="U21" i="58" s="1"/>
  <c r="U59" i="57"/>
  <c r="R58" i="57"/>
  <c r="R58" i="58" s="1"/>
  <c r="U56" i="57"/>
  <c r="U56" i="58" s="1"/>
  <c r="R49" i="57"/>
  <c r="R49" i="58" s="1"/>
  <c r="Q48" i="57"/>
  <c r="Q48" i="58" s="1"/>
  <c r="S43" i="57"/>
  <c r="U39" i="57"/>
  <c r="U39" i="58" s="1"/>
  <c r="U60" i="57"/>
  <c r="S59" i="57"/>
  <c r="Q58" i="57"/>
  <c r="S56" i="57"/>
  <c r="S56" i="58" s="1"/>
  <c r="T55" i="57"/>
  <c r="Q49" i="57"/>
  <c r="Q49" i="58" s="1"/>
  <c r="U44" i="57"/>
  <c r="U44" i="58" s="1"/>
  <c r="R43" i="57"/>
  <c r="U42" i="57"/>
  <c r="U42" i="58" s="1"/>
  <c r="U41" i="57"/>
  <c r="AO41" i="57"/>
  <c r="AR42" i="57"/>
  <c r="AR42" i="58" s="1"/>
  <c r="AS43" i="57"/>
  <c r="AO45" i="57"/>
  <c r="AO45" i="58" s="1"/>
  <c r="AQ46" i="57"/>
  <c r="AQ48" i="57"/>
  <c r="AQ48" i="58" s="1"/>
  <c r="AP49" i="57"/>
  <c r="AP49" i="58" s="1"/>
  <c r="AQ55" i="57"/>
  <c r="AP56" i="57"/>
  <c r="AO59" i="57"/>
  <c r="AO60" i="57"/>
  <c r="AP15" i="57"/>
  <c r="AP15" i="58" s="1"/>
  <c r="AS16" i="57"/>
  <c r="AO20" i="57"/>
  <c r="AO20" i="58" s="1"/>
  <c r="AR21" i="57"/>
  <c r="AR21" i="58" s="1"/>
  <c r="AP27" i="57"/>
  <c r="AQ30" i="57"/>
  <c r="AR31" i="57"/>
  <c r="AR31" i="58" s="1"/>
  <c r="AR32" i="57"/>
  <c r="AP41" i="57"/>
  <c r="AP41" i="58" s="1"/>
  <c r="AP45" i="57"/>
  <c r="AP45" i="58" s="1"/>
  <c r="AS46" i="57"/>
  <c r="AS48" i="57"/>
  <c r="AS48" i="58" s="1"/>
  <c r="AQ49" i="57"/>
  <c r="AQ49" i="58" s="1"/>
  <c r="AS55" i="57"/>
  <c r="AQ56" i="57"/>
  <c r="AO57" i="57"/>
  <c r="AO57" i="58" s="1"/>
  <c r="AP59" i="57"/>
  <c r="AP60" i="57"/>
  <c r="AQ15" i="57"/>
  <c r="AQ15" i="58" s="1"/>
  <c r="AR16" i="57"/>
  <c r="AO21" i="57"/>
  <c r="AO21" i="58" s="1"/>
  <c r="AS21" i="57"/>
  <c r="AS21" i="58" s="1"/>
  <c r="AQ27" i="57"/>
  <c r="AP28" i="57"/>
  <c r="AR30" i="57"/>
  <c r="AO31" i="57"/>
  <c r="AO31" i="58" s="1"/>
  <c r="AS31" i="57"/>
  <c r="AS31" i="58" s="1"/>
  <c r="AS32" i="57"/>
  <c r="AR39" i="57"/>
  <c r="AQ41" i="57"/>
  <c r="AQ41" i="58" s="1"/>
  <c r="AO42" i="57"/>
  <c r="AO42" i="58" s="1"/>
  <c r="AR44" i="57"/>
  <c r="AR44" i="58" s="1"/>
  <c r="AQ45" i="57"/>
  <c r="AQ45" i="58" s="1"/>
  <c r="AS49" i="57"/>
  <c r="AS49" i="58" s="1"/>
  <c r="AS56" i="57"/>
  <c r="AP57" i="57"/>
  <c r="AP57" i="58" s="1"/>
  <c r="AQ59" i="57"/>
  <c r="AQ58" i="58" s="1"/>
  <c r="AQ60" i="57"/>
  <c r="AS15" i="57"/>
  <c r="AR27" i="57"/>
  <c r="AQ28" i="57"/>
  <c r="AQ28" i="58" s="1"/>
  <c r="AO30" i="57"/>
  <c r="AS30" i="57"/>
  <c r="AO32" i="57"/>
  <c r="AO39" i="57"/>
  <c r="AO39" i="58" s="1"/>
  <c r="AR40" i="57"/>
  <c r="AR40" i="58" s="1"/>
  <c r="AS41" i="57"/>
  <c r="AS41" i="58" s="1"/>
  <c r="AP42" i="57"/>
  <c r="AP42" i="58" s="1"/>
  <c r="AO44" i="57"/>
  <c r="AO44" i="58" s="1"/>
  <c r="AS45" i="57"/>
  <c r="AS45" i="58" s="1"/>
  <c r="AR55" i="57"/>
  <c r="AR56" i="57"/>
  <c r="AR56" i="58" s="1"/>
  <c r="AQ57" i="57"/>
  <c r="AQ57" i="58" s="1"/>
  <c r="AR59" i="57"/>
  <c r="AR58" i="58" s="1"/>
  <c r="AS59" i="57"/>
  <c r="AS58" i="58" s="1"/>
  <c r="AR60" i="57"/>
  <c r="AS60" i="57"/>
  <c r="AO27" i="57"/>
  <c r="AS27" i="57"/>
  <c r="AR28" i="57"/>
  <c r="AR28" i="58" s="1"/>
  <c r="AP39" i="57"/>
  <c r="AO40" i="57"/>
  <c r="AO40" i="58" s="1"/>
  <c r="AQ42" i="57"/>
  <c r="AQ42" i="58" s="1"/>
  <c r="AR43" i="57"/>
  <c r="AP44" i="57"/>
  <c r="AP44" i="58" s="1"/>
  <c r="AR46" i="57"/>
  <c r="AR48" i="57"/>
  <c r="AR48" i="58" s="1"/>
  <c r="AS57" i="57"/>
  <c r="AS57" i="58" s="1"/>
  <c r="AO58" i="57"/>
  <c r="AR15" i="57"/>
  <c r="AR15" i="58" s="1"/>
  <c r="AP20" i="57"/>
  <c r="AP20" i="58" s="1"/>
  <c r="AS28" i="57"/>
  <c r="AS28" i="58" s="1"/>
  <c r="AQ39" i="57"/>
  <c r="AP40" i="57"/>
  <c r="AP40" i="58" s="1"/>
  <c r="AS42" i="57"/>
  <c r="AS42" i="58" s="1"/>
  <c r="AO43" i="57"/>
  <c r="AO43" i="58" s="1"/>
  <c r="AQ44" i="57"/>
  <c r="AQ44" i="58" s="1"/>
  <c r="AR49" i="57"/>
  <c r="AR49" i="58" s="1"/>
  <c r="AR57" i="57"/>
  <c r="AR57" i="58" s="1"/>
  <c r="AP58" i="57"/>
  <c r="AO16" i="57"/>
  <c r="AO16" i="58" s="1"/>
  <c r="AQ20" i="57"/>
  <c r="AQ20" i="58" s="1"/>
  <c r="AO28" i="57"/>
  <c r="AO28" i="58" s="1"/>
  <c r="AS39" i="57"/>
  <c r="AQ40" i="57"/>
  <c r="AQ40" i="58" s="1"/>
  <c r="AR41" i="57"/>
  <c r="AR41" i="58" s="1"/>
  <c r="Q61" i="57"/>
  <c r="BG41" i="58"/>
  <c r="AO56" i="58"/>
  <c r="AI28" i="47"/>
  <c r="AI28" i="58" s="1"/>
  <c r="AI41" i="47"/>
  <c r="AH28" i="47"/>
  <c r="AH28" i="58" s="1"/>
  <c r="AH56" i="47"/>
  <c r="AG41" i="47"/>
  <c r="AG41" i="58" s="1"/>
  <c r="AF33" i="58"/>
  <c r="AN15" i="58"/>
  <c r="AF39" i="58"/>
  <c r="AF38" i="58" s="1"/>
  <c r="AH41" i="47"/>
  <c r="AH38" i="47" s="1"/>
  <c r="AK56" i="47"/>
  <c r="AK56" i="58" s="1"/>
  <c r="AJ28" i="47"/>
  <c r="AJ28" i="58" s="1"/>
  <c r="P15" i="58"/>
  <c r="AO15" i="58"/>
  <c r="AG28" i="47"/>
  <c r="AG28" i="58" s="1"/>
  <c r="AK41" i="47"/>
  <c r="AI56" i="47"/>
  <c r="AI56" i="58" s="1"/>
  <c r="AV30" i="58"/>
  <c r="AJ56" i="47"/>
  <c r="P16" i="58"/>
  <c r="I45" i="47"/>
  <c r="J45" i="47" s="1"/>
  <c r="K45" i="47" s="1"/>
  <c r="L45" i="47" s="1"/>
  <c r="M45" i="47" s="1"/>
  <c r="X33" i="58"/>
  <c r="BH45" i="58"/>
  <c r="P33" i="58"/>
  <c r="AV16" i="58"/>
  <c r="AV45" i="58"/>
  <c r="BF45" i="58"/>
  <c r="X30" i="58"/>
  <c r="BD45" i="58"/>
  <c r="AO33" i="57"/>
  <c r="AW33" i="57"/>
  <c r="AV33" i="58"/>
  <c r="AV44" i="58"/>
  <c r="BE45" i="58"/>
  <c r="BE33" i="57"/>
  <c r="X16" i="58"/>
  <c r="AR45" i="58"/>
  <c r="AG33" i="57"/>
  <c r="X15" i="58"/>
  <c r="BD16" i="58"/>
  <c r="X44" i="58"/>
  <c r="H13" i="47"/>
  <c r="H65" i="47" s="1"/>
  <c r="AC30" i="58"/>
  <c r="Y57" i="58"/>
  <c r="T57" i="58"/>
  <c r="AN45" i="58"/>
  <c r="Q33" i="57"/>
  <c r="AF16" i="58"/>
  <c r="BD15" i="58"/>
  <c r="AV15" i="58"/>
  <c r="BE43" i="58"/>
  <c r="P44" i="58"/>
  <c r="BD43" i="58"/>
  <c r="BA30" i="58"/>
  <c r="Z30" i="58"/>
  <c r="O38" i="47"/>
  <c r="O40" i="58"/>
  <c r="O38" i="58" s="1"/>
  <c r="AZ28" i="58"/>
  <c r="BI15" i="58"/>
  <c r="AK28" i="58"/>
  <c r="P68" i="57"/>
  <c r="P67" i="57"/>
  <c r="AN67" i="57"/>
  <c r="AE67" i="57"/>
  <c r="AW40" i="57"/>
  <c r="AW40" i="58" s="1"/>
  <c r="AW41" i="57"/>
  <c r="AW41" i="58" s="1"/>
  <c r="AW42" i="57"/>
  <c r="AW43" i="57"/>
  <c r="AW43" i="58" s="1"/>
  <c r="BA45" i="57"/>
  <c r="AW46" i="57"/>
  <c r="AW49" i="57"/>
  <c r="AW49" i="58" s="1"/>
  <c r="BA55" i="57"/>
  <c r="AZ15" i="57"/>
  <c r="AW39" i="57"/>
  <c r="AW39" i="58" s="1"/>
  <c r="AX40" i="57"/>
  <c r="AX40" i="58" s="1"/>
  <c r="AX41" i="57"/>
  <c r="AX41" i="58" s="1"/>
  <c r="AX42" i="57"/>
  <c r="AX43" i="57"/>
  <c r="AX43" i="58" s="1"/>
  <c r="AX46" i="57"/>
  <c r="AX49" i="57"/>
  <c r="AX49" i="58" s="1"/>
  <c r="AW56" i="57"/>
  <c r="AW56" i="58" s="1"/>
  <c r="AW57" i="57"/>
  <c r="AW57" i="58" s="1"/>
  <c r="AW58" i="57"/>
  <c r="AW59" i="57"/>
  <c r="BA15" i="57"/>
  <c r="BA16" i="57"/>
  <c r="BA16" i="58" s="1"/>
  <c r="BA20" i="57"/>
  <c r="BA20" i="58" s="1"/>
  <c r="AX39" i="57"/>
  <c r="AY40" i="57"/>
  <c r="AY40" i="58" s="1"/>
  <c r="AY41" i="57"/>
  <c r="AY41" i="58" s="1"/>
  <c r="AY42" i="57"/>
  <c r="AY43" i="57"/>
  <c r="AY43" i="58" s="1"/>
  <c r="AW44" i="57"/>
  <c r="AW44" i="58" s="1"/>
  <c r="AY46" i="57"/>
  <c r="AY49" i="57"/>
  <c r="AY49" i="58" s="1"/>
  <c r="AX56" i="57"/>
  <c r="AX56" i="58" s="1"/>
  <c r="AX57" i="57"/>
  <c r="AX57" i="58" s="1"/>
  <c r="AX58" i="57"/>
  <c r="AX59" i="57"/>
  <c r="AY39" i="57"/>
  <c r="AZ40" i="57"/>
  <c r="AZ40" i="58" s="1"/>
  <c r="AZ41" i="57"/>
  <c r="AZ41" i="58" s="1"/>
  <c r="AZ42" i="57"/>
  <c r="AZ43" i="57"/>
  <c r="AZ43" i="58" s="1"/>
  <c r="AX44" i="57"/>
  <c r="AX44" i="58" s="1"/>
  <c r="AZ46" i="57"/>
  <c r="AW48" i="57"/>
  <c r="AW48" i="58" s="1"/>
  <c r="AZ49" i="57"/>
  <c r="AZ49" i="58" s="1"/>
  <c r="AY56" i="57"/>
  <c r="AY56" i="58" s="1"/>
  <c r="AZ39" i="57"/>
  <c r="BA40" i="57"/>
  <c r="BA40" i="58" s="1"/>
  <c r="BA41" i="57"/>
  <c r="BA41" i="58" s="1"/>
  <c r="BA42" i="57"/>
  <c r="BA43" i="57"/>
  <c r="BA43" i="58" s="1"/>
  <c r="AY44" i="57"/>
  <c r="AW45" i="57"/>
  <c r="AW45" i="58" s="1"/>
  <c r="BA46" i="57"/>
  <c r="AX48" i="57"/>
  <c r="AX48" i="58" s="1"/>
  <c r="BA49" i="57"/>
  <c r="BA49" i="58" s="1"/>
  <c r="AW55" i="57"/>
  <c r="AZ56" i="57"/>
  <c r="AZ56" i="58" s="1"/>
  <c r="AZ57" i="57"/>
  <c r="AZ57" i="58" s="1"/>
  <c r="AZ58" i="57"/>
  <c r="AZ59" i="57"/>
  <c r="AX60" i="57"/>
  <c r="BA39" i="57"/>
  <c r="AZ44" i="57"/>
  <c r="AX45" i="57"/>
  <c r="AX45" i="58" s="1"/>
  <c r="AY48" i="57"/>
  <c r="AY48" i="58" s="1"/>
  <c r="AX55" i="57"/>
  <c r="BA56" i="57"/>
  <c r="BA56" i="58" s="1"/>
  <c r="BA57" i="57"/>
  <c r="BA57" i="58" s="1"/>
  <c r="BA58" i="57"/>
  <c r="BA59" i="57"/>
  <c r="AY60" i="57"/>
  <c r="AW15" i="57"/>
  <c r="AW15" i="58" s="1"/>
  <c r="AW16" i="57"/>
  <c r="AW16" i="58" s="1"/>
  <c r="AW20" i="57"/>
  <c r="AW20" i="58" s="1"/>
  <c r="AW21" i="57"/>
  <c r="AW21" i="58" s="1"/>
  <c r="BA44" i="57"/>
  <c r="AY45" i="57"/>
  <c r="AZ48" i="57"/>
  <c r="AZ48" i="58" s="1"/>
  <c r="AY55" i="57"/>
  <c r="AZ60" i="57"/>
  <c r="AX15" i="57"/>
  <c r="AX15" i="58" s="1"/>
  <c r="AX16" i="57"/>
  <c r="AX16" i="58" s="1"/>
  <c r="AX20" i="57"/>
  <c r="AX20" i="58" s="1"/>
  <c r="BD68" i="57"/>
  <c r="BF28" i="58"/>
  <c r="BC67" i="57"/>
  <c r="X68" i="57"/>
  <c r="W67" i="57"/>
  <c r="AE68" i="57"/>
  <c r="O67" i="57"/>
  <c r="BC68" i="57"/>
  <c r="U28" i="58"/>
  <c r="AF67" i="57"/>
  <c r="BI28" i="58"/>
  <c r="AX28" i="58"/>
  <c r="AI49" i="57"/>
  <c r="AI49" i="58" s="1"/>
  <c r="AI48" i="57"/>
  <c r="AI48" i="58" s="1"/>
  <c r="AI46" i="57"/>
  <c r="AJ43" i="57"/>
  <c r="AJ43" i="58" s="1"/>
  <c r="AJ56" i="57"/>
  <c r="AJ55" i="57"/>
  <c r="AH49" i="57"/>
  <c r="AH49" i="58" s="1"/>
  <c r="AH48" i="57"/>
  <c r="AH48" i="58" s="1"/>
  <c r="AH46" i="57"/>
  <c r="AK45" i="57"/>
  <c r="AK45" i="58" s="1"/>
  <c r="AJ42" i="57"/>
  <c r="AJ42" i="58" s="1"/>
  <c r="AJ41" i="57"/>
  <c r="AJ41" i="58" s="1"/>
  <c r="AG49" i="57"/>
  <c r="AG49" i="58" s="1"/>
  <c r="AG48" i="57"/>
  <c r="AG48" i="58" s="1"/>
  <c r="AG46" i="57"/>
  <c r="AI45" i="57"/>
  <c r="AI45" i="58" s="1"/>
  <c r="AK44" i="57"/>
  <c r="AM68" i="57"/>
  <c r="AK57" i="57"/>
  <c r="AK57" i="58" s="1"/>
  <c r="AH45" i="57"/>
  <c r="AH45" i="58" s="1"/>
  <c r="AI44" i="57"/>
  <c r="AK43" i="57"/>
  <c r="AK43" i="58" s="1"/>
  <c r="AK40" i="57"/>
  <c r="AK40" i="58" s="1"/>
  <c r="AK55" i="57"/>
  <c r="AJ49" i="57"/>
  <c r="AJ49" i="58" s="1"/>
  <c r="AJ48" i="57"/>
  <c r="AJ48" i="58" s="1"/>
  <c r="AJ46" i="57"/>
  <c r="AG45" i="57"/>
  <c r="AG45" i="58" s="1"/>
  <c r="AH44" i="57"/>
  <c r="AI43" i="57"/>
  <c r="AI43" i="58" s="1"/>
  <c r="AK42" i="57"/>
  <c r="AK42" i="58" s="1"/>
  <c r="AK41" i="57"/>
  <c r="AI40" i="57"/>
  <c r="AI40" i="58" s="1"/>
  <c r="AG44" i="57"/>
  <c r="AG44" i="58" s="1"/>
  <c r="AH43" i="57"/>
  <c r="AH43" i="58" s="1"/>
  <c r="AI42" i="57"/>
  <c r="AI42" i="58" s="1"/>
  <c r="AI41" i="57"/>
  <c r="AH56" i="57"/>
  <c r="AH55" i="57"/>
  <c r="AJ45" i="57"/>
  <c r="AJ45" i="58" s="1"/>
  <c r="AG43" i="57"/>
  <c r="AG43" i="58" s="1"/>
  <c r="AH42" i="57"/>
  <c r="AH42" i="58" s="1"/>
  <c r="AH41" i="57"/>
  <c r="D33" i="61"/>
  <c r="E33" i="61"/>
  <c r="F33" i="61"/>
  <c r="G33" i="61"/>
  <c r="H33" i="61"/>
  <c r="I33" i="61"/>
  <c r="AB16" i="58"/>
  <c r="BF15" i="58"/>
  <c r="H89" i="19"/>
  <c r="S44" i="58"/>
  <c r="Y44" i="58"/>
  <c r="AB44" i="58"/>
  <c r="BG43" i="58"/>
  <c r="H53" i="1"/>
  <c r="S39" i="58"/>
  <c r="Z44" i="58"/>
  <c r="BH43" i="58"/>
  <c r="H20" i="1"/>
  <c r="Q9" i="7"/>
  <c r="Y9" i="7" s="1"/>
  <c r="Z16" i="58"/>
  <c r="BF43" i="58"/>
  <c r="J89" i="19"/>
  <c r="AA44" i="58"/>
  <c r="AY15" i="47"/>
  <c r="AZ15" i="47" s="1"/>
  <c r="BA15" i="47" s="1"/>
  <c r="G11" i="57"/>
  <c r="AS15" i="58"/>
  <c r="BE56" i="58"/>
  <c r="BE28" i="58"/>
  <c r="U38" i="47"/>
  <c r="H58" i="60"/>
  <c r="B1" i="61"/>
  <c r="F30" i="45"/>
  <c r="H8" i="45" s="1"/>
  <c r="AC51" i="26"/>
  <c r="AC47" i="26"/>
  <c r="AC18" i="26"/>
  <c r="AC22" i="26"/>
  <c r="AC26" i="26"/>
  <c r="AC30" i="26"/>
  <c r="AC43" i="26"/>
  <c r="AC54" i="26"/>
  <c r="AC46" i="26"/>
  <c r="AC17" i="26"/>
  <c r="AC21" i="26"/>
  <c r="AC25" i="26"/>
  <c r="AC29" i="26"/>
  <c r="AC50" i="26"/>
  <c r="AC53" i="26"/>
  <c r="AC45" i="26"/>
  <c r="AC16" i="26"/>
  <c r="AC20" i="26"/>
  <c r="AC24" i="26"/>
  <c r="AC28" i="26"/>
  <c r="AC32" i="26"/>
  <c r="AC15" i="26"/>
  <c r="AC52" i="26"/>
  <c r="AC44" i="26"/>
  <c r="AC19" i="26"/>
  <c r="AC23" i="26"/>
  <c r="AC27" i="26"/>
  <c r="AC31" i="26"/>
  <c r="AB51" i="26"/>
  <c r="AB47" i="26"/>
  <c r="AB18" i="26"/>
  <c r="AB22" i="26"/>
  <c r="AB26" i="26"/>
  <c r="AB30" i="26"/>
  <c r="AB54" i="26"/>
  <c r="AB46" i="26"/>
  <c r="AB17" i="26"/>
  <c r="AB21" i="26"/>
  <c r="AB25" i="26"/>
  <c r="AB29" i="26"/>
  <c r="AB43" i="26"/>
  <c r="AB53" i="26"/>
  <c r="AB45" i="26"/>
  <c r="AB16" i="26"/>
  <c r="AB20" i="26"/>
  <c r="AB24" i="26"/>
  <c r="AB28" i="26"/>
  <c r="AB32" i="26"/>
  <c r="AB50" i="26"/>
  <c r="AB52" i="26"/>
  <c r="AB44" i="26"/>
  <c r="AB19" i="26"/>
  <c r="AB23" i="26"/>
  <c r="AB27" i="26"/>
  <c r="AB31" i="26"/>
  <c r="AB15" i="26"/>
  <c r="AO30" i="47"/>
  <c r="AP30" i="47" s="1"/>
  <c r="AQ30" i="47" s="1"/>
  <c r="AR30" i="47" s="1"/>
  <c r="AN30" i="58"/>
  <c r="Q30" i="47"/>
  <c r="P30" i="58"/>
  <c r="H10" i="40"/>
  <c r="J65" i="46"/>
  <c r="L65" i="40"/>
  <c r="J65" i="40"/>
  <c r="H38" i="40"/>
  <c r="N65" i="46"/>
  <c r="AV68" i="57"/>
  <c r="AV67" i="57"/>
  <c r="Y43" i="47"/>
  <c r="Z43" i="47" s="1"/>
  <c r="X43" i="58"/>
  <c r="Q43" i="47"/>
  <c r="P43" i="58"/>
  <c r="AG50" i="26"/>
  <c r="AG53" i="26"/>
  <c r="AG45" i="26"/>
  <c r="AG16" i="26"/>
  <c r="AG20" i="26"/>
  <c r="AG24" i="26"/>
  <c r="AG28" i="26"/>
  <c r="AG32" i="26"/>
  <c r="AG15" i="26"/>
  <c r="AG52" i="26"/>
  <c r="AG44" i="26"/>
  <c r="AG19" i="26"/>
  <c r="AG23" i="26"/>
  <c r="AG27" i="26"/>
  <c r="AG31" i="26"/>
  <c r="AG51" i="26"/>
  <c r="AG47" i="26"/>
  <c r="AG18" i="26"/>
  <c r="AG22" i="26"/>
  <c r="AG26" i="26"/>
  <c r="AG30" i="26"/>
  <c r="AG43" i="26"/>
  <c r="AG54" i="26"/>
  <c r="AG46" i="26"/>
  <c r="AG17" i="26"/>
  <c r="AG21" i="26"/>
  <c r="AG25" i="26"/>
  <c r="AG29" i="26"/>
  <c r="H101" i="19"/>
  <c r="AF53" i="26"/>
  <c r="AF45" i="26"/>
  <c r="AF16" i="26"/>
  <c r="AF20" i="26"/>
  <c r="AF24" i="26"/>
  <c r="AF28" i="26"/>
  <c r="AF32" i="26"/>
  <c r="AF50" i="26"/>
  <c r="AF52" i="26"/>
  <c r="AF44" i="26"/>
  <c r="AF19" i="26"/>
  <c r="AF23" i="26"/>
  <c r="AF27" i="26"/>
  <c r="AF31" i="26"/>
  <c r="AF15" i="26"/>
  <c r="AF51" i="26"/>
  <c r="AF47" i="26"/>
  <c r="AF18" i="26"/>
  <c r="AF22" i="26"/>
  <c r="AF26" i="26"/>
  <c r="AF30" i="26"/>
  <c r="AF54" i="26"/>
  <c r="AF46" i="26"/>
  <c r="AF17" i="26"/>
  <c r="AF21" i="26"/>
  <c r="AF25" i="26"/>
  <c r="AF29" i="26"/>
  <c r="AF43" i="26"/>
  <c r="K65" i="46"/>
  <c r="M65" i="46"/>
  <c r="AE43" i="26"/>
  <c r="AE52" i="26"/>
  <c r="AE44" i="26"/>
  <c r="AE19" i="26"/>
  <c r="AE23" i="26"/>
  <c r="AE27" i="26"/>
  <c r="AE31" i="26"/>
  <c r="AE50" i="26"/>
  <c r="AE51" i="26"/>
  <c r="AE47" i="26"/>
  <c r="AE18" i="26"/>
  <c r="AE22" i="26"/>
  <c r="AE26" i="26"/>
  <c r="AE30" i="26"/>
  <c r="AE15" i="26"/>
  <c r="AE54" i="26"/>
  <c r="AE46" i="26"/>
  <c r="AE17" i="26"/>
  <c r="AE21" i="26"/>
  <c r="AE25" i="26"/>
  <c r="AE29" i="26"/>
  <c r="AE53" i="26"/>
  <c r="AE45" i="26"/>
  <c r="AE16" i="26"/>
  <c r="AE20" i="26"/>
  <c r="AE24" i="26"/>
  <c r="AE28" i="26"/>
  <c r="AE32" i="26"/>
  <c r="AM67" i="57"/>
  <c r="H13" i="56"/>
  <c r="AD52" i="26"/>
  <c r="AD44" i="26"/>
  <c r="AD19" i="26"/>
  <c r="AD23" i="26"/>
  <c r="AD27" i="26"/>
  <c r="AD31" i="26"/>
  <c r="AD43" i="26"/>
  <c r="AD51" i="26"/>
  <c r="AD47" i="26"/>
  <c r="AD18" i="26"/>
  <c r="AD22" i="26"/>
  <c r="AD26" i="26"/>
  <c r="AD30" i="26"/>
  <c r="AD50" i="26"/>
  <c r="AD54" i="26"/>
  <c r="AD55" i="26" s="1"/>
  <c r="AD46" i="26"/>
  <c r="AD17" i="26"/>
  <c r="AD21" i="26"/>
  <c r="AD25" i="26"/>
  <c r="AD29" i="26"/>
  <c r="AD15" i="26"/>
  <c r="AD53" i="26"/>
  <c r="AD45" i="26"/>
  <c r="AD16" i="26"/>
  <c r="AD20" i="26"/>
  <c r="AD24" i="26"/>
  <c r="AD28" i="26"/>
  <c r="AD32" i="26"/>
  <c r="K65" i="40"/>
  <c r="AF15" i="58"/>
  <c r="AN43" i="58"/>
  <c r="BG44" i="47"/>
  <c r="BF44" i="58"/>
  <c r="AY44" i="47"/>
  <c r="AJ39" i="47"/>
  <c r="AJ38" i="47" s="1"/>
  <c r="AA45" i="47"/>
  <c r="Z45" i="58"/>
  <c r="Q45" i="47"/>
  <c r="P45" i="58"/>
  <c r="N50" i="47"/>
  <c r="O68" i="57"/>
  <c r="I13" i="56"/>
  <c r="E13" i="56"/>
  <c r="AF44" i="58"/>
  <c r="AW38" i="47"/>
  <c r="AV42" i="58"/>
  <c r="AV38" i="58" s="1"/>
  <c r="AU38" i="47"/>
  <c r="AU39" i="58"/>
  <c r="AU38" i="58" s="1"/>
  <c r="AQ43" i="47"/>
  <c r="AP43" i="58"/>
  <c r="AA42" i="58"/>
  <c r="W38" i="47"/>
  <c r="BE44" i="58"/>
  <c r="G13" i="56"/>
  <c r="AN16" i="58"/>
  <c r="X45" i="58"/>
  <c r="AV38" i="47"/>
  <c r="W11" i="47"/>
  <c r="BC11" i="47"/>
  <c r="AB41" i="47"/>
  <c r="AB41" i="58" s="1"/>
  <c r="Z41" i="47"/>
  <c r="Z41" i="58" s="1"/>
  <c r="P38" i="58"/>
  <c r="X38" i="58"/>
  <c r="BC38" i="58"/>
  <c r="B3" i="26"/>
  <c r="N14" i="7"/>
  <c r="O8" i="19" s="1"/>
  <c r="BE40" i="47"/>
  <c r="BF40" i="47" s="1"/>
  <c r="BG40" i="47" s="1"/>
  <c r="BH40" i="47" s="1"/>
  <c r="BI40" i="47" s="1"/>
  <c r="BD38" i="47"/>
  <c r="AM38" i="47"/>
  <c r="BD11" i="47"/>
  <c r="Y53" i="7"/>
  <c r="G18" i="52" s="1"/>
  <c r="I15" i="47"/>
  <c r="J15" i="47" s="1"/>
  <c r="K15" i="47" s="1"/>
  <c r="AE38" i="47"/>
  <c r="AB30" i="58"/>
  <c r="AG30" i="58"/>
  <c r="BH28" i="58"/>
  <c r="AW28" i="58"/>
  <c r="G27" i="52"/>
  <c r="BC38" i="47"/>
  <c r="AS40" i="58"/>
  <c r="AG39" i="57"/>
  <c r="AG39" i="58" s="1"/>
  <c r="BE42" i="58"/>
  <c r="Z42" i="58"/>
  <c r="AJ40" i="57"/>
  <c r="AJ40" i="58" s="1"/>
  <c r="R17" i="57"/>
  <c r="R28" i="57"/>
  <c r="R28" i="58" s="1"/>
  <c r="Q29" i="57"/>
  <c r="Q29" i="58" s="1"/>
  <c r="AJ39" i="57"/>
  <c r="H40" i="58"/>
  <c r="I40" i="47"/>
  <c r="J40" i="47" s="1"/>
  <c r="K40" i="47" s="1"/>
  <c r="L40" i="47" s="1"/>
  <c r="M40" i="47" s="1"/>
  <c r="AK39" i="57"/>
  <c r="AH40" i="57"/>
  <c r="AH40" i="58" s="1"/>
  <c r="AI39" i="57"/>
  <c r="AI39" i="58" s="1"/>
  <c r="AG40" i="57"/>
  <c r="AG40" i="58" s="1"/>
  <c r="AH39" i="57"/>
  <c r="AH39" i="58" s="1"/>
  <c r="F35" i="52"/>
  <c r="O14" i="7"/>
  <c r="I14" i="7"/>
  <c r="J8" i="19" s="1"/>
  <c r="F27" i="52"/>
  <c r="Y17" i="7"/>
  <c r="I28" i="19"/>
  <c r="AO29" i="57"/>
  <c r="AO29" i="58" s="1"/>
  <c r="AR29" i="57"/>
  <c r="AR29" i="58" s="1"/>
  <c r="AS29" i="57"/>
  <c r="AS29" i="58" s="1"/>
  <c r="AP29" i="57"/>
  <c r="AP29" i="58" s="1"/>
  <c r="AQ29" i="57"/>
  <c r="AQ29" i="58" s="1"/>
  <c r="BI29" i="57"/>
  <c r="BI29" i="58" s="1"/>
  <c r="BH29" i="57"/>
  <c r="BH29" i="58" s="1"/>
  <c r="BG29" i="57"/>
  <c r="BG29" i="58" s="1"/>
  <c r="BF29" i="57"/>
  <c r="BF29" i="58" s="1"/>
  <c r="BE29" i="57"/>
  <c r="BE29" i="58" s="1"/>
  <c r="AI61" i="57"/>
  <c r="AI61" i="58" s="1"/>
  <c r="AI29" i="57"/>
  <c r="AI29" i="58" s="1"/>
  <c r="AG29" i="57"/>
  <c r="AG29" i="58" s="1"/>
  <c r="AK29" i="57"/>
  <c r="AK29" i="58" s="1"/>
  <c r="AJ29" i="57"/>
  <c r="AJ29" i="58" s="1"/>
  <c r="AH29" i="57"/>
  <c r="AH29" i="58" s="1"/>
  <c r="U29" i="57"/>
  <c r="U29" i="58" s="1"/>
  <c r="T29" i="57"/>
  <c r="T29" i="58" s="1"/>
  <c r="S29" i="57"/>
  <c r="S29" i="58" s="1"/>
  <c r="R29" i="57"/>
  <c r="R29" i="58" s="1"/>
  <c r="Q17" i="57"/>
  <c r="R32" i="57"/>
  <c r="R20" i="57"/>
  <c r="R20" i="58" s="1"/>
  <c r="R15" i="57"/>
  <c r="R16" i="57"/>
  <c r="R16" i="58" s="1"/>
  <c r="Q15" i="57"/>
  <c r="Q15" i="58" s="1"/>
  <c r="AZ29" i="57"/>
  <c r="AZ29" i="58" s="1"/>
  <c r="AY29" i="57"/>
  <c r="AY29" i="58" s="1"/>
  <c r="AX29" i="57"/>
  <c r="AX29" i="58" s="1"/>
  <c r="AW29" i="57"/>
  <c r="AW29" i="58" s="1"/>
  <c r="BA29" i="57"/>
  <c r="BA29" i="58" s="1"/>
  <c r="AA29" i="57"/>
  <c r="AA29" i="58" s="1"/>
  <c r="Y29" i="57"/>
  <c r="Z29" i="57"/>
  <c r="Z29" i="58" s="1"/>
  <c r="AC29" i="57"/>
  <c r="AC29" i="58" s="1"/>
  <c r="AB29" i="57"/>
  <c r="AB29" i="58" s="1"/>
  <c r="I89" i="19"/>
  <c r="I101" i="19"/>
  <c r="AE11" i="47"/>
  <c r="G11" i="47"/>
  <c r="AM11" i="47"/>
  <c r="G11" i="58"/>
  <c r="X9" i="7"/>
  <c r="I38" i="19"/>
  <c r="H38" i="19" s="1"/>
  <c r="I6" i="19"/>
  <c r="H6" i="19" s="1"/>
  <c r="G53" i="1"/>
  <c r="AU11" i="47"/>
  <c r="O11" i="47"/>
  <c r="S84" i="7"/>
  <c r="S43" i="7"/>
  <c r="S24" i="7"/>
  <c r="S25" i="7"/>
  <c r="S51" i="7"/>
  <c r="S85" i="7"/>
  <c r="S79" i="7"/>
  <c r="S36" i="7"/>
  <c r="S42" i="7"/>
  <c r="C14" i="1"/>
  <c r="G42" i="1"/>
  <c r="H43" i="60"/>
  <c r="G44" i="52"/>
  <c r="AY45" i="47"/>
  <c r="AH44" i="47"/>
  <c r="AB28" i="47"/>
  <c r="AB28" i="58" s="1"/>
  <c r="G50" i="58"/>
  <c r="AA56" i="47"/>
  <c r="AA56" i="58" s="1"/>
  <c r="AA28" i="47"/>
  <c r="AA28" i="58" s="1"/>
  <c r="AA41" i="47"/>
  <c r="AA41" i="58" s="1"/>
  <c r="Y41" i="47"/>
  <c r="Y38" i="47" s="1"/>
  <c r="G13" i="47"/>
  <c r="G65" i="47" s="1"/>
  <c r="Z28" i="47"/>
  <c r="Z28" i="58" s="1"/>
  <c r="Z56" i="47"/>
  <c r="Z56" i="58" s="1"/>
  <c r="AN38" i="47"/>
  <c r="AC56" i="47"/>
  <c r="AC56" i="58" s="1"/>
  <c r="AF38" i="47"/>
  <c r="AI38" i="47"/>
  <c r="Y28" i="47"/>
  <c r="Y28" i="58" s="1"/>
  <c r="AC41" i="47"/>
  <c r="AC41" i="58" s="1"/>
  <c r="Y56" i="47"/>
  <c r="Y56" i="58" s="1"/>
  <c r="X38" i="47"/>
  <c r="AB56" i="47"/>
  <c r="AB56" i="58" s="1"/>
  <c r="AC28" i="47"/>
  <c r="AC28" i="58" s="1"/>
  <c r="BG30" i="47"/>
  <c r="BH30" i="47" s="1"/>
  <c r="BF30" i="58"/>
  <c r="BF16" i="47"/>
  <c r="BE16" i="58"/>
  <c r="Z15" i="47"/>
  <c r="Y15" i="58"/>
  <c r="BD13" i="47"/>
  <c r="BD65" i="47" s="1"/>
  <c r="AI16" i="47"/>
  <c r="AH16" i="58"/>
  <c r="AQ16" i="47"/>
  <c r="AP16" i="58"/>
  <c r="Y40" i="58"/>
  <c r="AN38" i="58"/>
  <c r="BG28" i="58"/>
  <c r="AG57" i="58"/>
  <c r="BI56" i="58"/>
  <c r="R56" i="58"/>
  <c r="AU36" i="47"/>
  <c r="AU64" i="47" s="1"/>
  <c r="BA28" i="58"/>
  <c r="AM38" i="58"/>
  <c r="W13" i="47"/>
  <c r="W65" i="47" s="1"/>
  <c r="AE38" i="58"/>
  <c r="AY28" i="58"/>
  <c r="T28" i="58"/>
  <c r="AO18" i="47"/>
  <c r="AP18" i="47" s="1"/>
  <c r="AQ18" i="47" s="1"/>
  <c r="AR18" i="47" s="1"/>
  <c r="AS18" i="47" s="1"/>
  <c r="AG18" i="47"/>
  <c r="AH18" i="47" s="1"/>
  <c r="AI18" i="47" s="1"/>
  <c r="AJ18" i="47" s="1"/>
  <c r="AK18" i="47" s="1"/>
  <c r="G62" i="52"/>
  <c r="J16" i="19" s="1"/>
  <c r="BH57" i="47"/>
  <c r="BI57" i="47" s="1"/>
  <c r="BI57" i="58" s="1"/>
  <c r="BG57" i="58"/>
  <c r="S16" i="47"/>
  <c r="T16" i="47" s="1"/>
  <c r="U16" i="47" s="1"/>
  <c r="U16" i="58" s="1"/>
  <c r="BE39" i="58"/>
  <c r="Q32" i="47"/>
  <c r="R32" i="47" s="1"/>
  <c r="S32" i="47" s="1"/>
  <c r="N51" i="47"/>
  <c r="R15" i="47"/>
  <c r="AG46" i="47"/>
  <c r="H46" i="58"/>
  <c r="J21" i="19" s="1"/>
  <c r="I46" i="47"/>
  <c r="J46" i="47" s="1"/>
  <c r="H18" i="58"/>
  <c r="J19" i="19" s="1"/>
  <c r="I18" i="47"/>
  <c r="J18" i="47" s="1"/>
  <c r="K18" i="47" s="1"/>
  <c r="L18" i="47" s="1"/>
  <c r="M18" i="47" s="1"/>
  <c r="AC16" i="58"/>
  <c r="BH15" i="58"/>
  <c r="AG15" i="58"/>
  <c r="P13" i="47"/>
  <c r="P65" i="47" s="1"/>
  <c r="AY30" i="58"/>
  <c r="AJ30" i="58"/>
  <c r="AW18" i="47"/>
  <c r="AX18" i="47" s="1"/>
  <c r="AY18" i="47" s="1"/>
  <c r="AZ18" i="47" s="1"/>
  <c r="BA18" i="47" s="1"/>
  <c r="AX30" i="58"/>
  <c r="BG45" i="58"/>
  <c r="AA16" i="58"/>
  <c r="BG15" i="58"/>
  <c r="AW30" i="58"/>
  <c r="AH30" i="58"/>
  <c r="H39" i="58"/>
  <c r="Y16" i="58"/>
  <c r="BE15" i="58"/>
  <c r="BE57" i="58"/>
  <c r="Y45" i="58"/>
  <c r="AG42" i="58"/>
  <c r="H60" i="58"/>
  <c r="I60" i="47"/>
  <c r="G43" i="52"/>
  <c r="G38" i="52"/>
  <c r="I44" i="47"/>
  <c r="BE30" i="58"/>
  <c r="AA30" i="58"/>
  <c r="Y30" i="58"/>
  <c r="AY16" i="58"/>
  <c r="I30" i="47"/>
  <c r="J30" i="47" s="1"/>
  <c r="K30" i="47" s="1"/>
  <c r="L30" i="47" s="1"/>
  <c r="M30" i="47" s="1"/>
  <c r="G42" i="52"/>
  <c r="G20" i="52"/>
  <c r="Q38" i="7"/>
  <c r="Y38" i="7" s="1"/>
  <c r="G16" i="52" s="1"/>
  <c r="AG55" i="47"/>
  <c r="AG55" i="58" s="1"/>
  <c r="AZ30" i="58"/>
  <c r="AK30" i="58"/>
  <c r="AG16" i="58"/>
  <c r="AH57" i="58"/>
  <c r="R57" i="58"/>
  <c r="H42" i="58"/>
  <c r="I42" i="47"/>
  <c r="J42" i="47" s="1"/>
  <c r="K42" i="47" s="1"/>
  <c r="L42" i="47" s="1"/>
  <c r="M42" i="47" s="1"/>
  <c r="W38" i="58"/>
  <c r="N20" i="47"/>
  <c r="BC13" i="47"/>
  <c r="BC65" i="47" s="1"/>
  <c r="F15" i="52"/>
  <c r="F28" i="52"/>
  <c r="H59" i="60"/>
  <c r="I47" i="60" s="1"/>
  <c r="K14" i="7"/>
  <c r="L8" i="19" s="1"/>
  <c r="L14" i="7"/>
  <c r="M8" i="19" s="1"/>
  <c r="J14" i="7"/>
  <c r="H7" i="26" s="1"/>
  <c r="J24" i="60"/>
  <c r="O24" i="60"/>
  <c r="I56" i="60"/>
  <c r="I12" i="60"/>
  <c r="I51" i="60" s="1"/>
  <c r="I21" i="60"/>
  <c r="I50" i="60" s="1"/>
  <c r="AE36" i="58"/>
  <c r="AE64" i="58" s="1"/>
  <c r="AM36" i="58"/>
  <c r="AM64" i="58" s="1"/>
  <c r="G64" i="52"/>
  <c r="W13" i="58"/>
  <c r="W65" i="58" s="1"/>
  <c r="BC13" i="58"/>
  <c r="BC65" i="58" s="1"/>
  <c r="G63" i="52"/>
  <c r="F17" i="7"/>
  <c r="AY58" i="58"/>
  <c r="AI58" i="58"/>
  <c r="BI58" i="58"/>
  <c r="AH58" i="58"/>
  <c r="BH58" i="58"/>
  <c r="AG58" i="58"/>
  <c r="BG58" i="58"/>
  <c r="AC58" i="58"/>
  <c r="BF58" i="58"/>
  <c r="AA58" i="58"/>
  <c r="AJ58" i="58"/>
  <c r="BE58" i="58"/>
  <c r="Z58" i="58"/>
  <c r="AB58" i="58"/>
  <c r="Y58" i="58"/>
  <c r="T58" i="58"/>
  <c r="AK58" i="58"/>
  <c r="BE55" i="47"/>
  <c r="BE55" i="58" s="1"/>
  <c r="N22" i="47"/>
  <c r="AO32" i="47"/>
  <c r="AP32" i="47" s="1"/>
  <c r="AQ32" i="47" s="1"/>
  <c r="AR32" i="47" s="1"/>
  <c r="AS32" i="47" s="1"/>
  <c r="N26" i="47"/>
  <c r="X13" i="47"/>
  <c r="X65" i="47" s="1"/>
  <c r="AV13" i="47"/>
  <c r="AV65" i="47" s="1"/>
  <c r="AN13" i="47"/>
  <c r="AN65" i="47" s="1"/>
  <c r="N17" i="47"/>
  <c r="AF13" i="47"/>
  <c r="AF65" i="47" s="1"/>
  <c r="S38" i="47"/>
  <c r="BE18" i="47"/>
  <c r="BF18" i="47" s="1"/>
  <c r="BG18" i="47" s="1"/>
  <c r="BH18" i="47" s="1"/>
  <c r="BI18" i="47" s="1"/>
  <c r="Q27" i="47"/>
  <c r="AN36" i="47"/>
  <c r="AN64" i="47" s="1"/>
  <c r="Y60" i="47"/>
  <c r="Z60" i="47" s="1"/>
  <c r="AA60" i="47" s="1"/>
  <c r="AB60" i="47" s="1"/>
  <c r="AC60" i="47" s="1"/>
  <c r="AO27" i="47"/>
  <c r="AW27" i="47"/>
  <c r="AX27" i="47" s="1"/>
  <c r="Y46" i="47"/>
  <c r="Q18" i="47"/>
  <c r="R18" i="47" s="1"/>
  <c r="I32" i="47"/>
  <c r="J32" i="47" s="1"/>
  <c r="K32" i="47" s="1"/>
  <c r="L32" i="47" s="1"/>
  <c r="Q38" i="47"/>
  <c r="F46" i="52"/>
  <c r="F30" i="52"/>
  <c r="G30" i="52"/>
  <c r="F16" i="52"/>
  <c r="G34" i="52"/>
  <c r="F34" i="52"/>
  <c r="O13" i="58"/>
  <c r="O65" i="58" s="1"/>
  <c r="AU13" i="47"/>
  <c r="AU65" i="47" s="1"/>
  <c r="BC36" i="58"/>
  <c r="BC64" i="58" s="1"/>
  <c r="AM13" i="47"/>
  <c r="AM65" i="47" s="1"/>
  <c r="AE13" i="58"/>
  <c r="AE65" i="58" s="1"/>
  <c r="AU13" i="58"/>
  <c r="AU65" i="58" s="1"/>
  <c r="N23" i="47"/>
  <c r="AE13" i="47"/>
  <c r="AE65" i="47" s="1"/>
  <c r="N21" i="47"/>
  <c r="N54" i="47"/>
  <c r="N52" i="47"/>
  <c r="W36" i="47"/>
  <c r="W64" i="47" s="1"/>
  <c r="W36" i="58"/>
  <c r="W64" i="58" s="1"/>
  <c r="O13" i="47"/>
  <c r="O65" i="47" s="1"/>
  <c r="F18" i="52"/>
  <c r="N59" i="47"/>
  <c r="N24" i="47"/>
  <c r="N48" i="47"/>
  <c r="N49" i="47"/>
  <c r="N31" i="47"/>
  <c r="I18" i="19"/>
  <c r="H36" i="1"/>
  <c r="J18" i="19" s="1"/>
  <c r="J101" i="19"/>
  <c r="C10" i="32"/>
  <c r="B59" i="26"/>
  <c r="S9" i="7"/>
  <c r="A1" i="60"/>
  <c r="G6" i="26"/>
  <c r="AB13" i="26"/>
  <c r="AC13" i="26" s="1"/>
  <c r="AD13" i="26" s="1"/>
  <c r="AE13" i="26" s="1"/>
  <c r="AF13" i="26" s="1"/>
  <c r="AG13" i="26" s="1"/>
  <c r="G6" i="52"/>
  <c r="P11" i="47"/>
  <c r="H6" i="60"/>
  <c r="X11" i="47"/>
  <c r="B1" i="56"/>
  <c r="H11" i="57"/>
  <c r="AF11" i="47"/>
  <c r="H11" i="47"/>
  <c r="B1" i="7"/>
  <c r="H42" i="1"/>
  <c r="AN11" i="47"/>
  <c r="B3" i="56"/>
  <c r="B1" i="26"/>
  <c r="J6" i="19"/>
  <c r="H33" i="1"/>
  <c r="AB41" i="26"/>
  <c r="AC41" i="26" s="1"/>
  <c r="AD41" i="26" s="1"/>
  <c r="AE41" i="26" s="1"/>
  <c r="AF41" i="26" s="1"/>
  <c r="AG41" i="26" s="1"/>
  <c r="B1" i="40"/>
  <c r="J38" i="19"/>
  <c r="P38" i="19" s="1"/>
  <c r="AV11" i="47"/>
  <c r="B3" i="6"/>
  <c r="B1" i="57"/>
  <c r="B1" i="58"/>
  <c r="K9" i="7"/>
  <c r="T57" i="7" s="1"/>
  <c r="B1" i="46"/>
  <c r="C1" i="19"/>
  <c r="B1" i="1"/>
  <c r="B1" i="47"/>
  <c r="H24" i="60"/>
  <c r="B1" i="55"/>
  <c r="B1" i="6"/>
  <c r="B1" i="52"/>
  <c r="AW55" i="47"/>
  <c r="BE27" i="47"/>
  <c r="H62" i="40"/>
  <c r="H62" i="46"/>
  <c r="M65" i="40"/>
  <c r="M56" i="47"/>
  <c r="H41" i="47"/>
  <c r="G33" i="46"/>
  <c r="G35" i="46"/>
  <c r="H35" i="46" s="1"/>
  <c r="M41" i="47"/>
  <c r="L56" i="47"/>
  <c r="K56" i="47"/>
  <c r="H53" i="40"/>
  <c r="AU67" i="57"/>
  <c r="J56" i="47"/>
  <c r="K41" i="47"/>
  <c r="I56" i="47"/>
  <c r="I55" i="47" s="1"/>
  <c r="H53" i="46"/>
  <c r="G56" i="58"/>
  <c r="L41" i="47"/>
  <c r="H10" i="46"/>
  <c r="G41" i="47"/>
  <c r="G36" i="47" s="1"/>
  <c r="G33" i="40"/>
  <c r="J41" i="47"/>
  <c r="H56" i="58"/>
  <c r="J35" i="19" s="1"/>
  <c r="H38" i="46"/>
  <c r="AM13" i="58"/>
  <c r="AM65" i="58" s="1"/>
  <c r="AH15" i="47"/>
  <c r="BE33" i="47"/>
  <c r="BE32" i="47" s="1"/>
  <c r="F17" i="52"/>
  <c r="AW32" i="47"/>
  <c r="F26" i="52"/>
  <c r="F33" i="52"/>
  <c r="F23" i="52"/>
  <c r="Y32" i="47"/>
  <c r="G19" i="52"/>
  <c r="F24" i="52"/>
  <c r="AG32" i="47"/>
  <c r="Y18" i="47"/>
  <c r="F37" i="52"/>
  <c r="F48" i="52"/>
  <c r="G13" i="58"/>
  <c r="G65" i="58" s="1"/>
  <c r="F19" i="52"/>
  <c r="F40" i="52"/>
  <c r="F53" i="52"/>
  <c r="G35" i="52"/>
  <c r="F45" i="52"/>
  <c r="F51" i="52"/>
  <c r="F36" i="52"/>
  <c r="F20" i="52"/>
  <c r="F49" i="52"/>
  <c r="F44" i="52"/>
  <c r="F52" i="52"/>
  <c r="J95" i="19"/>
  <c r="J96" i="19"/>
  <c r="BC11" i="58"/>
  <c r="AU11" i="58"/>
  <c r="AM11" i="58"/>
  <c r="AE11" i="58"/>
  <c r="W11" i="58"/>
  <c r="O11" i="58"/>
  <c r="O11" i="57"/>
  <c r="AM11" i="57"/>
  <c r="AE11" i="57"/>
  <c r="W11" i="57"/>
  <c r="BC11" i="57"/>
  <c r="AU11" i="57"/>
  <c r="G6" i="60"/>
  <c r="K95" i="19"/>
  <c r="K96" i="19"/>
  <c r="G32" i="60"/>
  <c r="L95" i="19"/>
  <c r="L96" i="19"/>
  <c r="M95" i="19"/>
  <c r="M96" i="19"/>
  <c r="N95" i="19"/>
  <c r="N96" i="19"/>
  <c r="O95" i="19"/>
  <c r="O96" i="19"/>
  <c r="H95" i="19"/>
  <c r="H96" i="19"/>
  <c r="R61" i="47"/>
  <c r="Q60" i="47"/>
  <c r="P11" i="58"/>
  <c r="BD11" i="58"/>
  <c r="AV11" i="58"/>
  <c r="AN11" i="58"/>
  <c r="AF11" i="58"/>
  <c r="X11" i="58"/>
  <c r="X11" i="57"/>
  <c r="AV11" i="57"/>
  <c r="I9" i="7"/>
  <c r="R58" i="7" s="1"/>
  <c r="AF11" i="57"/>
  <c r="P11" i="57"/>
  <c r="BD11" i="57"/>
  <c r="AN11" i="57"/>
  <c r="B1" i="45"/>
  <c r="BC36" i="47"/>
  <c r="BC64" i="47" s="1"/>
  <c r="BE60" i="47"/>
  <c r="AW61" i="47"/>
  <c r="AW46" i="47"/>
  <c r="P36" i="47"/>
  <c r="P64" i="47" s="1"/>
  <c r="BD36" i="47"/>
  <c r="BD64" i="47" s="1"/>
  <c r="AV36" i="47"/>
  <c r="AV64" i="47" s="1"/>
  <c r="AF36" i="47"/>
  <c r="AF64" i="47" s="1"/>
  <c r="BE46" i="47"/>
  <c r="AO55" i="47"/>
  <c r="AE36" i="47"/>
  <c r="AE64" i="47" s="1"/>
  <c r="O36" i="47"/>
  <c r="O64" i="47" s="1"/>
  <c r="AG60" i="47"/>
  <c r="J61" i="47"/>
  <c r="AO46" i="47"/>
  <c r="AO60" i="47"/>
  <c r="X36" i="47"/>
  <c r="X64" i="47" s="1"/>
  <c r="AM36" i="47"/>
  <c r="AM64" i="47" s="1"/>
  <c r="I16" i="47"/>
  <c r="Q45" i="7"/>
  <c r="I43" i="47"/>
  <c r="J18" i="60"/>
  <c r="K18" i="60" s="1"/>
  <c r="L18" i="60" s="1"/>
  <c r="M18" i="60" s="1"/>
  <c r="U61" i="57"/>
  <c r="S61" i="57"/>
  <c r="T61" i="57"/>
  <c r="K14" i="60"/>
  <c r="N53" i="47"/>
  <c r="I57" i="47"/>
  <c r="J8" i="60"/>
  <c r="AZ61" i="57"/>
  <c r="AX61" i="57"/>
  <c r="AW61" i="57"/>
  <c r="AY61" i="57"/>
  <c r="BA61" i="57"/>
  <c r="Z61" i="57"/>
  <c r="AA61" i="57"/>
  <c r="Y61" i="57"/>
  <c r="AB61" i="57"/>
  <c r="AC61" i="57"/>
  <c r="Q27" i="7"/>
  <c r="N25" i="47"/>
  <c r="AK61" i="57"/>
  <c r="AK61" i="58" s="1"/>
  <c r="AH61" i="57"/>
  <c r="AJ61" i="57"/>
  <c r="AG61" i="57"/>
  <c r="AQ61" i="57"/>
  <c r="AR61" i="57"/>
  <c r="AS61" i="57"/>
  <c r="AS61" i="58" s="1"/>
  <c r="AO61" i="57"/>
  <c r="AO61" i="58" s="1"/>
  <c r="AP61" i="57"/>
  <c r="Q58" i="58" l="1"/>
  <c r="BD38" i="58"/>
  <c r="AG38" i="47"/>
  <c r="T58" i="7"/>
  <c r="U58" i="7" s="1"/>
  <c r="R76" i="7"/>
  <c r="S76" i="7" s="1"/>
  <c r="T76" i="7" s="1"/>
  <c r="R57" i="7"/>
  <c r="T73" i="7"/>
  <c r="T64" i="7"/>
  <c r="R75" i="7"/>
  <c r="R72" i="7"/>
  <c r="R69" i="7"/>
  <c r="R62" i="7"/>
  <c r="S62" i="7" s="1"/>
  <c r="T62" i="7" s="1"/>
  <c r="R64" i="7"/>
  <c r="R73" i="7"/>
  <c r="R63" i="7"/>
  <c r="S63" i="7" s="1"/>
  <c r="T63" i="7" s="1"/>
  <c r="R65" i="7"/>
  <c r="R66" i="7"/>
  <c r="S66" i="7" s="1"/>
  <c r="T66" i="7" s="1"/>
  <c r="R70" i="7"/>
  <c r="S70" i="7" s="1"/>
  <c r="T70" i="7" s="1"/>
  <c r="R74" i="7"/>
  <c r="R71" i="7"/>
  <c r="R68" i="7"/>
  <c r="R67" i="7"/>
  <c r="S67" i="7" s="1"/>
  <c r="T67" i="7" s="1"/>
  <c r="T71" i="7"/>
  <c r="T74" i="7"/>
  <c r="T72" i="7"/>
  <c r="T34" i="7"/>
  <c r="T68" i="7"/>
  <c r="F14" i="7"/>
  <c r="T69" i="7"/>
  <c r="T75" i="7"/>
  <c r="T65" i="7"/>
  <c r="R34" i="7"/>
  <c r="R59" i="7"/>
  <c r="T59" i="7"/>
  <c r="K7" i="26"/>
  <c r="AP28" i="58"/>
  <c r="AS56" i="58"/>
  <c r="AP56" i="58"/>
  <c r="AO41" i="58"/>
  <c r="AO38" i="58" s="1"/>
  <c r="U41" i="58"/>
  <c r="U38" i="58" s="1"/>
  <c r="T41" i="58"/>
  <c r="T38" i="58" s="1"/>
  <c r="R41" i="58"/>
  <c r="R38" i="58" s="1"/>
  <c r="BG42" i="58"/>
  <c r="BE61" i="57"/>
  <c r="BE61" i="58" s="1"/>
  <c r="BF42" i="58"/>
  <c r="AI41" i="58"/>
  <c r="AI38" i="58" s="1"/>
  <c r="Q56" i="58"/>
  <c r="G7" i="26"/>
  <c r="O36" i="58"/>
  <c r="O64" i="58" s="1"/>
  <c r="O68" i="58" s="1"/>
  <c r="AG27" i="47"/>
  <c r="AG27" i="58" s="1"/>
  <c r="AJ56" i="58"/>
  <c r="AQ56" i="58"/>
  <c r="BH42" i="58"/>
  <c r="B27" i="45"/>
  <c r="AF13" i="58"/>
  <c r="AF65" i="58" s="1"/>
  <c r="I33" i="57"/>
  <c r="AH56" i="58"/>
  <c r="AV13" i="58"/>
  <c r="AV65" i="58" s="1"/>
  <c r="Y27" i="7"/>
  <c r="Q14" i="7"/>
  <c r="Y14" i="7" s="1"/>
  <c r="AP58" i="58"/>
  <c r="AG33" i="26"/>
  <c r="L40" i="26" s="1"/>
  <c r="F76" i="45"/>
  <c r="F85" i="45" s="1"/>
  <c r="L7" i="26"/>
  <c r="Q20" i="58"/>
  <c r="Q18" i="58"/>
  <c r="U58" i="58"/>
  <c r="S58" i="58"/>
  <c r="Q46" i="58"/>
  <c r="J47" i="57"/>
  <c r="J47" i="58" s="1"/>
  <c r="L22" i="19" s="1"/>
  <c r="K47" i="57"/>
  <c r="K47" i="58" s="1"/>
  <c r="M22" i="19" s="1"/>
  <c r="L47" i="57"/>
  <c r="L47" i="58" s="1"/>
  <c r="N22" i="19" s="1"/>
  <c r="M47" i="57"/>
  <c r="M47" i="58" s="1"/>
  <c r="O22" i="19" s="1"/>
  <c r="I47" i="57"/>
  <c r="I47" i="58" s="1"/>
  <c r="K22" i="19" s="1"/>
  <c r="AO58" i="58"/>
  <c r="AN13" i="58"/>
  <c r="AN65" i="58" s="1"/>
  <c r="AU36" i="58"/>
  <c r="AU64" i="58" s="1"/>
  <c r="AU67" i="58" s="1"/>
  <c r="P13" i="58"/>
  <c r="P65" i="58" s="1"/>
  <c r="U36" i="57"/>
  <c r="U64" i="57" s="1"/>
  <c r="AZ58" i="58"/>
  <c r="AX58" i="58"/>
  <c r="Y55" i="47"/>
  <c r="Y55" i="58" s="1"/>
  <c r="AF36" i="58"/>
  <c r="AF64" i="58" s="1"/>
  <c r="AH41" i="58"/>
  <c r="AH38" i="58" s="1"/>
  <c r="X36" i="58"/>
  <c r="X64" i="58" s="1"/>
  <c r="BD36" i="58"/>
  <c r="BD64" i="58" s="1"/>
  <c r="AK41" i="58"/>
  <c r="BD13" i="58"/>
  <c r="BD65" i="58" s="1"/>
  <c r="Z38" i="47"/>
  <c r="X13" i="58"/>
  <c r="X65" i="58" s="1"/>
  <c r="AV36" i="58"/>
  <c r="AV64" i="58" s="1"/>
  <c r="AN36" i="58"/>
  <c r="AN64" i="58" s="1"/>
  <c r="P36" i="58"/>
  <c r="P64" i="58" s="1"/>
  <c r="J28" i="19"/>
  <c r="AO30" i="58"/>
  <c r="AP30" i="58"/>
  <c r="BA15" i="58"/>
  <c r="BA58" i="58"/>
  <c r="AY36" i="57"/>
  <c r="AY64" i="57" s="1"/>
  <c r="AW58" i="58"/>
  <c r="AW36" i="57"/>
  <c r="AW64" i="57" s="1"/>
  <c r="AW55" i="58"/>
  <c r="AZ36" i="57"/>
  <c r="AZ64" i="57" s="1"/>
  <c r="BA36" i="57"/>
  <c r="BA64" i="57" s="1"/>
  <c r="Q27" i="58"/>
  <c r="J33" i="61"/>
  <c r="I46" i="60"/>
  <c r="I57" i="60" s="1"/>
  <c r="Q38" i="58"/>
  <c r="AX55" i="47"/>
  <c r="AY55" i="47" s="1"/>
  <c r="AH55" i="47"/>
  <c r="AI55" i="47" s="1"/>
  <c r="AF48" i="26"/>
  <c r="AB48" i="26"/>
  <c r="Y43" i="58"/>
  <c r="BF40" i="58"/>
  <c r="AZ15" i="58"/>
  <c r="AG38" i="58"/>
  <c r="BE38" i="47"/>
  <c r="BE40" i="58"/>
  <c r="BE38" i="58" s="1"/>
  <c r="AB33" i="26"/>
  <c r="G40" i="26" s="1"/>
  <c r="AD48" i="26"/>
  <c r="I57" i="26" s="1"/>
  <c r="S38" i="58"/>
  <c r="AY15" i="58"/>
  <c r="AB55" i="26"/>
  <c r="Y41" i="58"/>
  <c r="Y38" i="58" s="1"/>
  <c r="K17" i="57"/>
  <c r="AC42" i="58"/>
  <c r="AB42" i="58"/>
  <c r="AK39" i="47"/>
  <c r="AJ39" i="58"/>
  <c r="AJ38" i="58" s="1"/>
  <c r="AG48" i="26"/>
  <c r="Q13" i="47"/>
  <c r="Q65" i="47" s="1"/>
  <c r="I36" i="1"/>
  <c r="S16" i="58"/>
  <c r="AR43" i="47"/>
  <c r="AQ43" i="58"/>
  <c r="AZ44" i="47"/>
  <c r="AY44" i="58"/>
  <c r="R30" i="47"/>
  <c r="Q30" i="58"/>
  <c r="AG36" i="47"/>
  <c r="AG64" i="47" s="1"/>
  <c r="BC67" i="58"/>
  <c r="R43" i="47"/>
  <c r="Q43" i="58"/>
  <c r="R45" i="47"/>
  <c r="Q45" i="58"/>
  <c r="BH44" i="47"/>
  <c r="BG44" i="58"/>
  <c r="BG30" i="58"/>
  <c r="AA43" i="47"/>
  <c r="Z43" i="58"/>
  <c r="BF55" i="47"/>
  <c r="BG55" i="47" s="1"/>
  <c r="AW42" i="58"/>
  <c r="AW38" i="58" s="1"/>
  <c r="AB45" i="47"/>
  <c r="AA45" i="58"/>
  <c r="AG55" i="26"/>
  <c r="AI36" i="57"/>
  <c r="AI64" i="57" s="1"/>
  <c r="M29" i="57"/>
  <c r="M29" i="58" s="1"/>
  <c r="Y29" i="58"/>
  <c r="I29" i="57"/>
  <c r="AO27" i="58"/>
  <c r="BE27" i="58"/>
  <c r="AW27" i="58"/>
  <c r="AX27" i="58"/>
  <c r="G48" i="52"/>
  <c r="J7" i="26"/>
  <c r="I7" i="26"/>
  <c r="G46" i="52"/>
  <c r="K25" i="58"/>
  <c r="H13" i="58"/>
  <c r="H65" i="58" s="1"/>
  <c r="J25" i="19"/>
  <c r="I15" i="57"/>
  <c r="L29" i="57"/>
  <c r="L29" i="58" s="1"/>
  <c r="K29" i="57"/>
  <c r="K29" i="58" s="1"/>
  <c r="J29" i="57"/>
  <c r="R20" i="7"/>
  <c r="R78" i="7"/>
  <c r="S78" i="7" s="1"/>
  <c r="T78" i="7" s="1"/>
  <c r="R42" i="7"/>
  <c r="R30" i="7"/>
  <c r="S30" i="7" s="1"/>
  <c r="T30" i="7" s="1"/>
  <c r="R22" i="7"/>
  <c r="S22" i="7" s="1"/>
  <c r="T22" i="7" s="1"/>
  <c r="R41" i="7"/>
  <c r="R24" i="7"/>
  <c r="R31" i="7"/>
  <c r="S31" i="7" s="1"/>
  <c r="T31" i="7" s="1"/>
  <c r="R23" i="7"/>
  <c r="S23" i="7" s="1"/>
  <c r="T23" i="7" s="1"/>
  <c r="R84" i="7"/>
  <c r="R49" i="7"/>
  <c r="S49" i="7" s="1"/>
  <c r="T49" i="7" s="1"/>
  <c r="R33" i="7"/>
  <c r="S33" i="7" s="1"/>
  <c r="T33" i="7" s="1"/>
  <c r="R43" i="7"/>
  <c r="R61" i="7"/>
  <c r="S61" i="7" s="1"/>
  <c r="T61" i="7" s="1"/>
  <c r="R32" i="7"/>
  <c r="S32" i="7" s="1"/>
  <c r="R51" i="7"/>
  <c r="R79" i="7"/>
  <c r="R35" i="7"/>
  <c r="S35" i="7" s="1"/>
  <c r="T35" i="7" s="1"/>
  <c r="R60" i="7"/>
  <c r="S60" i="7" s="1"/>
  <c r="T60" i="7" s="1"/>
  <c r="R25" i="7"/>
  <c r="R56" i="7"/>
  <c r="R36" i="7"/>
  <c r="R85" i="7"/>
  <c r="R48" i="7"/>
  <c r="R21" i="7"/>
  <c r="S21" i="7" s="1"/>
  <c r="T21" i="7" s="1"/>
  <c r="R50" i="7"/>
  <c r="S50" i="7" s="1"/>
  <c r="T50" i="7" s="1"/>
  <c r="T24" i="7"/>
  <c r="T51" i="7"/>
  <c r="T43" i="7"/>
  <c r="T25" i="7"/>
  <c r="T85" i="7"/>
  <c r="T32" i="7"/>
  <c r="T79" i="7"/>
  <c r="T42" i="7"/>
  <c r="T84" i="7"/>
  <c r="T36" i="7"/>
  <c r="Y27" i="47"/>
  <c r="Y27" i="58" s="1"/>
  <c r="AZ45" i="47"/>
  <c r="AY45" i="58"/>
  <c r="AI44" i="47"/>
  <c r="AH44" i="58"/>
  <c r="N28" i="47"/>
  <c r="AA15" i="47"/>
  <c r="Z15" i="58"/>
  <c r="AO13" i="47"/>
  <c r="AO65" i="47" s="1"/>
  <c r="BH57" i="58"/>
  <c r="AX38" i="47"/>
  <c r="AX39" i="58"/>
  <c r="AP27" i="47"/>
  <c r="AP27" i="58" s="1"/>
  <c r="BE13" i="47"/>
  <c r="BE65" i="47" s="1"/>
  <c r="BF27" i="47"/>
  <c r="BF27" i="58" s="1"/>
  <c r="AQ30" i="58"/>
  <c r="BG16" i="47"/>
  <c r="BF16" i="58"/>
  <c r="BI30" i="47"/>
  <c r="BI30" i="58" s="1"/>
  <c r="BH30" i="58"/>
  <c r="BG40" i="58"/>
  <c r="Z40" i="58"/>
  <c r="Z38" i="58" s="1"/>
  <c r="AJ16" i="47"/>
  <c r="AI16" i="58"/>
  <c r="AR16" i="47"/>
  <c r="AQ16" i="58"/>
  <c r="AP38" i="47"/>
  <c r="AP39" i="58"/>
  <c r="AP38" i="58" s="1"/>
  <c r="AS30" i="47"/>
  <c r="AS30" i="58" s="1"/>
  <c r="AR30" i="58"/>
  <c r="J44" i="47"/>
  <c r="K44" i="47" s="1"/>
  <c r="L44" i="47" s="1"/>
  <c r="M44" i="47" s="1"/>
  <c r="AA39" i="58"/>
  <c r="BF38" i="47"/>
  <c r="BF39" i="58"/>
  <c r="AH46" i="47"/>
  <c r="AG46" i="58"/>
  <c r="T16" i="58"/>
  <c r="R27" i="47"/>
  <c r="S15" i="47"/>
  <c r="R15" i="58"/>
  <c r="G50" i="52"/>
  <c r="AE67" i="58"/>
  <c r="K8" i="19"/>
  <c r="O29" i="60"/>
  <c r="P29" i="60" s="1"/>
  <c r="Q29" i="60" s="1"/>
  <c r="O31" i="60"/>
  <c r="P31" i="60" s="1"/>
  <c r="Q31" i="60" s="1"/>
  <c r="O26" i="60"/>
  <c r="P26" i="60" s="1"/>
  <c r="Q26" i="60" s="1"/>
  <c r="O28" i="60"/>
  <c r="P28" i="60" s="1"/>
  <c r="Q28" i="60" s="1"/>
  <c r="O30" i="60"/>
  <c r="P30" i="60" s="1"/>
  <c r="Q30" i="60" s="1"/>
  <c r="O27" i="60"/>
  <c r="P27" i="60" s="1"/>
  <c r="Q27" i="60" s="1"/>
  <c r="K24" i="60"/>
  <c r="P24" i="60"/>
  <c r="Q61" i="58"/>
  <c r="Q60" i="58"/>
  <c r="AE68" i="58"/>
  <c r="G14" i="52"/>
  <c r="AF55" i="26"/>
  <c r="K57" i="26" s="1"/>
  <c r="AE55" i="26"/>
  <c r="R36" i="57"/>
  <c r="R64" i="57" s="1"/>
  <c r="AN68" i="47"/>
  <c r="AN67" i="47"/>
  <c r="Z46" i="47"/>
  <c r="Y46" i="58"/>
  <c r="R46" i="47"/>
  <c r="W68" i="58"/>
  <c r="W67" i="58"/>
  <c r="BC68" i="58"/>
  <c r="W68" i="47"/>
  <c r="W67" i="47"/>
  <c r="AU68" i="47"/>
  <c r="AU67" i="47"/>
  <c r="O67" i="58"/>
  <c r="T9" i="7"/>
  <c r="AA9" i="7"/>
  <c r="T36" i="57"/>
  <c r="T64" i="57" s="1"/>
  <c r="AA36" i="57"/>
  <c r="AA64" i="57" s="1"/>
  <c r="L9" i="7"/>
  <c r="Y36" i="57"/>
  <c r="Y64" i="57" s="1"/>
  <c r="S36" i="57"/>
  <c r="S64" i="57" s="1"/>
  <c r="AB36" i="57"/>
  <c r="AB64" i="57" s="1"/>
  <c r="Z36" i="57"/>
  <c r="Z64" i="57" s="1"/>
  <c r="AG36" i="57"/>
  <c r="AG64" i="57" s="1"/>
  <c r="AG61" i="58"/>
  <c r="Y60" i="58"/>
  <c r="Y61" i="58"/>
  <c r="K61" i="47"/>
  <c r="AX61" i="47"/>
  <c r="AW61" i="58"/>
  <c r="S61" i="47"/>
  <c r="R61" i="58"/>
  <c r="Z18" i="47"/>
  <c r="Y18" i="58"/>
  <c r="G61" i="40"/>
  <c r="H33" i="40"/>
  <c r="AO18" i="58"/>
  <c r="AO13" i="57"/>
  <c r="AO65" i="57" s="1"/>
  <c r="AJ36" i="57"/>
  <c r="AJ64" i="57" s="1"/>
  <c r="AJ61" i="58"/>
  <c r="AC36" i="57"/>
  <c r="AC64" i="57" s="1"/>
  <c r="AC60" i="58"/>
  <c r="AC61" i="58"/>
  <c r="AA60" i="58"/>
  <c r="AA61" i="58"/>
  <c r="K8" i="60"/>
  <c r="J12" i="60"/>
  <c r="J51" i="60" s="1"/>
  <c r="J27" i="47"/>
  <c r="I13" i="47"/>
  <c r="AK36" i="57"/>
  <c r="AK64" i="57" s="1"/>
  <c r="J60" i="47"/>
  <c r="O67" i="47"/>
  <c r="O68" i="47"/>
  <c r="J25" i="58"/>
  <c r="I54" i="58"/>
  <c r="L25" i="58"/>
  <c r="J53" i="58"/>
  <c r="M25" i="58"/>
  <c r="I51" i="58"/>
  <c r="I25" i="58"/>
  <c r="I53" i="58"/>
  <c r="K53" i="58"/>
  <c r="L53" i="58"/>
  <c r="I52" i="58"/>
  <c r="I23" i="58"/>
  <c r="M53" i="58"/>
  <c r="I24" i="58"/>
  <c r="I26" i="58"/>
  <c r="J51" i="58"/>
  <c r="J52" i="58"/>
  <c r="L51" i="58"/>
  <c r="L52" i="58"/>
  <c r="L54" i="58"/>
  <c r="J54" i="58"/>
  <c r="K54" i="58"/>
  <c r="J23" i="58"/>
  <c r="M51" i="58"/>
  <c r="J24" i="58"/>
  <c r="M52" i="58"/>
  <c r="K24" i="58"/>
  <c r="J26" i="58"/>
  <c r="M54" i="58"/>
  <c r="L24" i="58"/>
  <c r="K51" i="58"/>
  <c r="K52" i="58"/>
  <c r="L23" i="58"/>
  <c r="L26" i="58"/>
  <c r="M24" i="58"/>
  <c r="K23" i="58"/>
  <c r="K26" i="58"/>
  <c r="M23" i="58"/>
  <c r="M26" i="58"/>
  <c r="G53" i="52"/>
  <c r="AH32" i="47"/>
  <c r="AG32" i="58"/>
  <c r="G26" i="52"/>
  <c r="G41" i="58"/>
  <c r="N41" i="47"/>
  <c r="G38" i="47"/>
  <c r="N56" i="47"/>
  <c r="K18" i="19"/>
  <c r="J36" i="1"/>
  <c r="AE33" i="26"/>
  <c r="J40" i="26" s="1"/>
  <c r="AH36" i="57"/>
  <c r="AH64" i="57" s="1"/>
  <c r="AH61" i="58"/>
  <c r="L14" i="60"/>
  <c r="K21" i="60"/>
  <c r="K50" i="60" s="1"/>
  <c r="I38" i="47"/>
  <c r="AO36" i="57"/>
  <c r="AO64" i="57" s="1"/>
  <c r="AM67" i="47"/>
  <c r="AM68" i="47"/>
  <c r="AE67" i="47"/>
  <c r="AE68" i="47"/>
  <c r="AF68" i="47"/>
  <c r="AF67" i="47"/>
  <c r="Q36" i="57"/>
  <c r="Q64" i="57" s="1"/>
  <c r="G49" i="52"/>
  <c r="G47" i="52"/>
  <c r="G22" i="52"/>
  <c r="Y45" i="7"/>
  <c r="M32" i="47"/>
  <c r="BE32" i="58"/>
  <c r="I35" i="19"/>
  <c r="AQ36" i="57"/>
  <c r="AQ64" i="57" s="1"/>
  <c r="AQ61" i="58"/>
  <c r="AG18" i="58"/>
  <c r="AG13" i="57"/>
  <c r="AG65" i="57" s="1"/>
  <c r="K46" i="47"/>
  <c r="Z60" i="58"/>
  <c r="Z61" i="58"/>
  <c r="J43" i="47"/>
  <c r="K43" i="47" s="1"/>
  <c r="G64" i="47"/>
  <c r="J16" i="47"/>
  <c r="J21" i="60"/>
  <c r="J50" i="60" s="1"/>
  <c r="Q32" i="58"/>
  <c r="Q33" i="58"/>
  <c r="X68" i="47"/>
  <c r="X67" i="47"/>
  <c r="AH60" i="47"/>
  <c r="AG60" i="58"/>
  <c r="AO36" i="47"/>
  <c r="AO64" i="47" s="1"/>
  <c r="AP55" i="47"/>
  <c r="AO55" i="58"/>
  <c r="BF60" i="47"/>
  <c r="G40" i="52"/>
  <c r="T32" i="47"/>
  <c r="AX32" i="47"/>
  <c r="AX13" i="47" s="1"/>
  <c r="AX65" i="47" s="1"/>
  <c r="AW32" i="58"/>
  <c r="BF33" i="47"/>
  <c r="BF32" i="47" s="1"/>
  <c r="BE33" i="58"/>
  <c r="AF33" i="26"/>
  <c r="K40" i="26" s="1"/>
  <c r="AE48" i="26"/>
  <c r="AR36" i="57"/>
  <c r="AR64" i="57" s="1"/>
  <c r="AR61" i="58"/>
  <c r="AP36" i="57"/>
  <c r="AP64" i="57" s="1"/>
  <c r="AP61" i="58"/>
  <c r="Y13" i="57"/>
  <c r="Y65" i="57" s="1"/>
  <c r="AO32" i="58"/>
  <c r="AO33" i="58"/>
  <c r="AG33" i="58"/>
  <c r="AP60" i="47"/>
  <c r="AO60" i="58"/>
  <c r="L15" i="47"/>
  <c r="BF46" i="47"/>
  <c r="BE46" i="58"/>
  <c r="Q36" i="47"/>
  <c r="Q64" i="47" s="1"/>
  <c r="R55" i="47"/>
  <c r="Q55" i="58"/>
  <c r="G36" i="52"/>
  <c r="Z32" i="47"/>
  <c r="AD33" i="26"/>
  <c r="I40" i="26" s="1"/>
  <c r="F11" i="52"/>
  <c r="G61" i="46"/>
  <c r="H33" i="46"/>
  <c r="AC48" i="26"/>
  <c r="AC33" i="26"/>
  <c r="H40" i="26" s="1"/>
  <c r="Q13" i="57"/>
  <c r="Q65" i="57" s="1"/>
  <c r="AW33" i="58"/>
  <c r="AP46" i="47"/>
  <c r="AO46" i="58"/>
  <c r="BD68" i="47"/>
  <c r="BD67" i="47"/>
  <c r="P68" i="47"/>
  <c r="P67" i="47"/>
  <c r="BC67" i="47"/>
  <c r="BC68" i="47"/>
  <c r="L46" i="57"/>
  <c r="L58" i="57"/>
  <c r="L41" i="57"/>
  <c r="L41" i="58" s="1"/>
  <c r="L45" i="57"/>
  <c r="L45" i="58" s="1"/>
  <c r="L48" i="57"/>
  <c r="L48" i="58" s="1"/>
  <c r="L57" i="57"/>
  <c r="L59" i="57"/>
  <c r="L40" i="57"/>
  <c r="L40" i="58" s="1"/>
  <c r="L44" i="57"/>
  <c r="L49" i="57"/>
  <c r="L49" i="58" s="1"/>
  <c r="L39" i="57"/>
  <c r="L43" i="57"/>
  <c r="L55" i="57"/>
  <c r="L42" i="57"/>
  <c r="L56" i="57"/>
  <c r="L56" i="58" s="1"/>
  <c r="I42" i="57"/>
  <c r="I56" i="57"/>
  <c r="M45" i="57"/>
  <c r="M45" i="58" s="1"/>
  <c r="M55" i="57"/>
  <c r="M15" i="57"/>
  <c r="J57" i="57"/>
  <c r="J20" i="57"/>
  <c r="J20" i="58" s="1"/>
  <c r="L16" i="57"/>
  <c r="I43" i="57"/>
  <c r="I43" i="58" s="1"/>
  <c r="I57" i="57"/>
  <c r="I57" i="58" s="1"/>
  <c r="I30" i="57"/>
  <c r="M60" i="57"/>
  <c r="M46" i="57"/>
  <c r="M56" i="57"/>
  <c r="M56" i="58" s="1"/>
  <c r="M16" i="57"/>
  <c r="J42" i="57"/>
  <c r="J42" i="58" s="1"/>
  <c r="J46" i="57"/>
  <c r="J16" i="57"/>
  <c r="J21" i="57"/>
  <c r="J21" i="58" s="1"/>
  <c r="K39" i="57"/>
  <c r="K48" i="57"/>
  <c r="K48" i="58" s="1"/>
  <c r="K58" i="57"/>
  <c r="L15" i="57"/>
  <c r="I44" i="57"/>
  <c r="I58" i="57"/>
  <c r="M39" i="57"/>
  <c r="M48" i="57"/>
  <c r="M48" i="58" s="1"/>
  <c r="M57" i="57"/>
  <c r="M17" i="57"/>
  <c r="J39" i="57"/>
  <c r="J48" i="57"/>
  <c r="J48" i="58" s="1"/>
  <c r="J58" i="57"/>
  <c r="K40" i="57"/>
  <c r="K40" i="58" s="1"/>
  <c r="K49" i="57"/>
  <c r="K49" i="58" s="1"/>
  <c r="K59" i="57"/>
  <c r="I45" i="57"/>
  <c r="I59" i="57"/>
  <c r="I27" i="57"/>
  <c r="I31" i="57"/>
  <c r="M40" i="57"/>
  <c r="M40" i="58" s="1"/>
  <c r="M49" i="57"/>
  <c r="M49" i="58" s="1"/>
  <c r="M58" i="57"/>
  <c r="L60" i="57"/>
  <c r="I39" i="57"/>
  <c r="I46" i="57"/>
  <c r="I60" i="57"/>
  <c r="I28" i="57"/>
  <c r="I32" i="57"/>
  <c r="M41" i="57"/>
  <c r="M41" i="58" s="1"/>
  <c r="M59" i="57"/>
  <c r="I40" i="57"/>
  <c r="I48" i="57"/>
  <c r="M42" i="57"/>
  <c r="I17" i="57"/>
  <c r="I41" i="57"/>
  <c r="I41" i="58" s="1"/>
  <c r="I49" i="57"/>
  <c r="I16" i="57"/>
  <c r="I16" i="58" s="1"/>
  <c r="I20" i="57"/>
  <c r="M43" i="57"/>
  <c r="J41" i="57"/>
  <c r="J41" i="58" s="1"/>
  <c r="J56" i="57"/>
  <c r="J56" i="58" s="1"/>
  <c r="J60" i="57"/>
  <c r="J30" i="57"/>
  <c r="J30" i="58" s="1"/>
  <c r="K44" i="57"/>
  <c r="K55" i="57"/>
  <c r="I55" i="57"/>
  <c r="I21" i="57"/>
  <c r="M44" i="57"/>
  <c r="J55" i="57"/>
  <c r="J27" i="57"/>
  <c r="J15" i="57"/>
  <c r="J28" i="57"/>
  <c r="J28" i="58" s="1"/>
  <c r="K41" i="57"/>
  <c r="K41" i="58" s="1"/>
  <c r="K56" i="57"/>
  <c r="K56" i="58" s="1"/>
  <c r="J44" i="57"/>
  <c r="J43" i="57"/>
  <c r="K57" i="57"/>
  <c r="K43" i="57"/>
  <c r="J45" i="57"/>
  <c r="J45" i="58" s="1"/>
  <c r="J49" i="57"/>
  <c r="J49" i="58" s="1"/>
  <c r="J17" i="57"/>
  <c r="J31" i="57"/>
  <c r="J31" i="58" s="1"/>
  <c r="K42" i="57"/>
  <c r="K45" i="57"/>
  <c r="K45" i="58" s="1"/>
  <c r="K46" i="57"/>
  <c r="K60" i="57"/>
  <c r="J40" i="57"/>
  <c r="J40" i="58" s="1"/>
  <c r="J59" i="57"/>
  <c r="J32" i="57"/>
  <c r="K15" i="57"/>
  <c r="K15" i="58" s="1"/>
  <c r="L28" i="57"/>
  <c r="L28" i="58" s="1"/>
  <c r="K16" i="57"/>
  <c r="K28" i="57"/>
  <c r="K28" i="58" s="1"/>
  <c r="M28" i="57"/>
  <c r="M28" i="58" s="1"/>
  <c r="L30" i="57"/>
  <c r="L30" i="58" s="1"/>
  <c r="K30" i="57"/>
  <c r="K30" i="58" s="1"/>
  <c r="M20" i="57"/>
  <c r="M20" i="58" s="1"/>
  <c r="M31" i="57"/>
  <c r="M31" i="58" s="1"/>
  <c r="L20" i="57"/>
  <c r="L20" i="58" s="1"/>
  <c r="L31" i="57"/>
  <c r="L31" i="58" s="1"/>
  <c r="M21" i="57"/>
  <c r="M21" i="58" s="1"/>
  <c r="K20" i="57"/>
  <c r="K20" i="58" s="1"/>
  <c r="K31" i="57"/>
  <c r="K31" i="58" s="1"/>
  <c r="L21" i="57"/>
  <c r="L21" i="58" s="1"/>
  <c r="M27" i="57"/>
  <c r="M32" i="57"/>
  <c r="K21" i="57"/>
  <c r="K21" i="58" s="1"/>
  <c r="L27" i="57"/>
  <c r="L32" i="57"/>
  <c r="K27" i="57"/>
  <c r="K32" i="57"/>
  <c r="M30" i="57"/>
  <c r="M30" i="58" s="1"/>
  <c r="L17" i="57"/>
  <c r="AY27" i="47"/>
  <c r="AY27" i="58" s="1"/>
  <c r="AM67" i="58"/>
  <c r="AM68" i="58"/>
  <c r="H41" i="58"/>
  <c r="H36" i="47"/>
  <c r="H64" i="47" s="1"/>
  <c r="H38" i="47"/>
  <c r="AC55" i="26"/>
  <c r="S81" i="7"/>
  <c r="BF17" i="58" s="1"/>
  <c r="AV68" i="47"/>
  <c r="AV67" i="47"/>
  <c r="AX46" i="47"/>
  <c r="AW46" i="58"/>
  <c r="AW13" i="47"/>
  <c r="AW65" i="47" s="1"/>
  <c r="AB60" i="58"/>
  <c r="AB61" i="58"/>
  <c r="AX36" i="57"/>
  <c r="AX64" i="57" s="1"/>
  <c r="AW18" i="58"/>
  <c r="AW13" i="57"/>
  <c r="AW65" i="57" s="1"/>
  <c r="J57" i="47"/>
  <c r="AS36" i="57"/>
  <c r="AS64" i="57" s="1"/>
  <c r="BE36" i="47"/>
  <c r="BE64" i="47" s="1"/>
  <c r="AW60" i="47"/>
  <c r="R60" i="47"/>
  <c r="AI15" i="47"/>
  <c r="AH15" i="58"/>
  <c r="S18" i="47"/>
  <c r="F13" i="52"/>
  <c r="AF68" i="58" l="1"/>
  <c r="AG13" i="47"/>
  <c r="AG65" i="47" s="1"/>
  <c r="AG68" i="47" s="1"/>
  <c r="V58" i="7"/>
  <c r="U34" i="7"/>
  <c r="U57" i="7"/>
  <c r="U75" i="7"/>
  <c r="U70" i="7"/>
  <c r="U76" i="7"/>
  <c r="U69" i="7"/>
  <c r="U66" i="7"/>
  <c r="U68" i="7"/>
  <c r="U63" i="7"/>
  <c r="U72" i="7"/>
  <c r="U74" i="7"/>
  <c r="U62" i="7"/>
  <c r="U71" i="7"/>
  <c r="U67" i="7"/>
  <c r="U64" i="7"/>
  <c r="U65" i="7"/>
  <c r="U73" i="7"/>
  <c r="U59" i="7"/>
  <c r="BE60" i="58"/>
  <c r="BE36" i="58" s="1"/>
  <c r="BE64" i="58" s="1"/>
  <c r="BE36" i="57"/>
  <c r="BE64" i="57" s="1"/>
  <c r="AU68" i="58"/>
  <c r="AH27" i="47"/>
  <c r="AH13" i="47" s="1"/>
  <c r="AH65" i="47" s="1"/>
  <c r="AV68" i="58"/>
  <c r="J57" i="26"/>
  <c r="AF67" i="58"/>
  <c r="J44" i="58"/>
  <c r="Z55" i="47"/>
  <c r="AA55" i="47" s="1"/>
  <c r="AB55" i="47" s="1"/>
  <c r="AN67" i="58"/>
  <c r="X68" i="58"/>
  <c r="K14" i="19"/>
  <c r="K15" i="19" s="1"/>
  <c r="BF33" i="57"/>
  <c r="BG33" i="57" s="1"/>
  <c r="BH33" i="57" s="1"/>
  <c r="S41" i="7"/>
  <c r="T41" i="7" s="1"/>
  <c r="AH33" i="57"/>
  <c r="Z33" i="57"/>
  <c r="AA33" i="57" s="1"/>
  <c r="AB33" i="57" s="1"/>
  <c r="S48" i="7"/>
  <c r="AP33" i="57"/>
  <c r="S56" i="7"/>
  <c r="T56" i="7" s="1"/>
  <c r="U56" i="7" s="1"/>
  <c r="AX33" i="57"/>
  <c r="J13" i="47"/>
  <c r="J65" i="47" s="1"/>
  <c r="Y36" i="47"/>
  <c r="Y64" i="47" s="1"/>
  <c r="G57" i="26"/>
  <c r="AN68" i="58"/>
  <c r="R27" i="7"/>
  <c r="S27" i="7"/>
  <c r="Z17" i="58" s="1"/>
  <c r="S20" i="7"/>
  <c r="N47" i="58"/>
  <c r="X67" i="58"/>
  <c r="BD68" i="58"/>
  <c r="P67" i="58"/>
  <c r="BD67" i="58"/>
  <c r="P68" i="58"/>
  <c r="R13" i="47"/>
  <c r="R65" i="47" s="1"/>
  <c r="AV67" i="58"/>
  <c r="AX55" i="58"/>
  <c r="AH55" i="58"/>
  <c r="BF13" i="47"/>
  <c r="BF65" i="47" s="1"/>
  <c r="AW67" i="57"/>
  <c r="BF38" i="58"/>
  <c r="S27" i="47"/>
  <c r="S27" i="58" s="1"/>
  <c r="M44" i="58"/>
  <c r="Y13" i="47"/>
  <c r="Y65" i="47" s="1"/>
  <c r="L44" i="58"/>
  <c r="Z27" i="47"/>
  <c r="Z27" i="58" s="1"/>
  <c r="K44" i="58"/>
  <c r="BG27" i="47"/>
  <c r="BG27" i="58" s="1"/>
  <c r="AP13" i="47"/>
  <c r="AP65" i="47" s="1"/>
  <c r="AQ27" i="47"/>
  <c r="AQ27" i="58" s="1"/>
  <c r="S43" i="47"/>
  <c r="R43" i="58"/>
  <c r="AY38" i="47"/>
  <c r="AX42" i="58"/>
  <c r="AX38" i="58" s="1"/>
  <c r="BI44" i="47"/>
  <c r="BI44" i="58" s="1"/>
  <c r="BH44" i="58"/>
  <c r="AS43" i="47"/>
  <c r="AS43" i="58" s="1"/>
  <c r="AR43" i="58"/>
  <c r="R45" i="58"/>
  <c r="S45" i="47"/>
  <c r="BA44" i="47"/>
  <c r="BA44" i="58" s="1"/>
  <c r="AZ44" i="58"/>
  <c r="S30" i="47"/>
  <c r="R30" i="58"/>
  <c r="BF55" i="58"/>
  <c r="AC45" i="47"/>
  <c r="AC45" i="58" s="1"/>
  <c r="AB45" i="58"/>
  <c r="AB43" i="47"/>
  <c r="AA43" i="58"/>
  <c r="L57" i="26"/>
  <c r="AK38" i="47"/>
  <c r="AK39" i="58"/>
  <c r="AK38" i="58" s="1"/>
  <c r="AH36" i="47"/>
  <c r="AH64" i="47" s="1"/>
  <c r="R27" i="58"/>
  <c r="AG36" i="58"/>
  <c r="AG64" i="58" s="1"/>
  <c r="I27" i="58"/>
  <c r="J27" i="58"/>
  <c r="N29" i="57"/>
  <c r="J29" i="58"/>
  <c r="I29" i="58"/>
  <c r="U60" i="7"/>
  <c r="U23" i="7"/>
  <c r="U49" i="7"/>
  <c r="U79" i="7"/>
  <c r="U51" i="7"/>
  <c r="U43" i="7"/>
  <c r="U31" i="7"/>
  <c r="U61" i="7"/>
  <c r="U35" i="7"/>
  <c r="U85" i="7"/>
  <c r="U50" i="7"/>
  <c r="U36" i="7"/>
  <c r="U25" i="7"/>
  <c r="U21" i="7"/>
  <c r="U32" i="7"/>
  <c r="U22" i="7"/>
  <c r="U84" i="7"/>
  <c r="U78" i="7"/>
  <c r="U33" i="7"/>
  <c r="U24" i="7"/>
  <c r="U42" i="7"/>
  <c r="U30" i="7"/>
  <c r="Y32" i="58"/>
  <c r="G13" i="52"/>
  <c r="AJ44" i="47"/>
  <c r="AI44" i="58"/>
  <c r="AZ45" i="58"/>
  <c r="BA45" i="47"/>
  <c r="BA45" i="58" s="1"/>
  <c r="BH16" i="47"/>
  <c r="BG16" i="58"/>
  <c r="AY39" i="58"/>
  <c r="AB15" i="47"/>
  <c r="AA15" i="58"/>
  <c r="AQ39" i="58"/>
  <c r="AQ38" i="58" s="1"/>
  <c r="AQ38" i="47"/>
  <c r="AS16" i="47"/>
  <c r="AS16" i="58" s="1"/>
  <c r="AR16" i="58"/>
  <c r="AA40" i="58"/>
  <c r="AA38" i="58" s="1"/>
  <c r="AA38" i="47"/>
  <c r="AK16" i="47"/>
  <c r="AK16" i="58" s="1"/>
  <c r="AJ16" i="58"/>
  <c r="BI40" i="58"/>
  <c r="BH40" i="58"/>
  <c r="T15" i="47"/>
  <c r="S15" i="58"/>
  <c r="AI46" i="47"/>
  <c r="AH46" i="58"/>
  <c r="AB39" i="58"/>
  <c r="BG38" i="47"/>
  <c r="BG39" i="58"/>
  <c r="BG38" i="58" s="1"/>
  <c r="N23" i="58"/>
  <c r="L24" i="60"/>
  <c r="Q24" i="60"/>
  <c r="R28" i="60"/>
  <c r="R27" i="60"/>
  <c r="R30" i="60"/>
  <c r="I53" i="60"/>
  <c r="J45" i="60" s="1"/>
  <c r="R26" i="60"/>
  <c r="K53" i="60"/>
  <c r="R31" i="60"/>
  <c r="S31" i="60" s="1"/>
  <c r="R29" i="60"/>
  <c r="J53" i="60"/>
  <c r="F9" i="52"/>
  <c r="Y67" i="57"/>
  <c r="N35" i="19"/>
  <c r="L35" i="19"/>
  <c r="I58" i="58"/>
  <c r="L58" i="58"/>
  <c r="J58" i="58"/>
  <c r="M58" i="58"/>
  <c r="K58" i="58"/>
  <c r="Y36" i="58"/>
  <c r="Y64" i="58" s="1"/>
  <c r="S46" i="47"/>
  <c r="R46" i="58"/>
  <c r="AA46" i="47"/>
  <c r="Z46" i="58"/>
  <c r="O35" i="19"/>
  <c r="AB9" i="7"/>
  <c r="U9" i="7"/>
  <c r="L22" i="58"/>
  <c r="R38" i="7"/>
  <c r="M9" i="7"/>
  <c r="K50" i="58"/>
  <c r="J46" i="58"/>
  <c r="L21" i="19" s="1"/>
  <c r="M35" i="19"/>
  <c r="N32" i="57"/>
  <c r="G25" i="52"/>
  <c r="G17" i="52"/>
  <c r="L61" i="47"/>
  <c r="AA32" i="47"/>
  <c r="R81" i="7"/>
  <c r="BE17" i="58" s="1"/>
  <c r="U32" i="47"/>
  <c r="AZ55" i="47"/>
  <c r="AY55" i="58"/>
  <c r="AO68" i="47"/>
  <c r="AO67" i="47"/>
  <c r="J16" i="58"/>
  <c r="K16" i="47"/>
  <c r="G21" i="52"/>
  <c r="G32" i="52"/>
  <c r="G52" i="52"/>
  <c r="I22" i="58"/>
  <c r="AG67" i="47"/>
  <c r="BF36" i="47"/>
  <c r="BF64" i="47" s="1"/>
  <c r="I55" i="58"/>
  <c r="J55" i="47"/>
  <c r="J36" i="47" s="1"/>
  <c r="I36" i="47"/>
  <c r="I64" i="47" s="1"/>
  <c r="N51" i="57"/>
  <c r="AP36" i="47"/>
  <c r="AP64" i="47" s="1"/>
  <c r="AQ55" i="47"/>
  <c r="AP55" i="58"/>
  <c r="N24" i="57"/>
  <c r="H67" i="47"/>
  <c r="H68" i="47"/>
  <c r="I20" i="58"/>
  <c r="N20" i="58" s="1"/>
  <c r="N20" i="57"/>
  <c r="N15" i="57"/>
  <c r="I15" i="58"/>
  <c r="N60" i="57"/>
  <c r="N27" i="57"/>
  <c r="N58" i="57"/>
  <c r="N30" i="57"/>
  <c r="I30" i="58"/>
  <c r="H57" i="26"/>
  <c r="G15" i="52"/>
  <c r="BG46" i="47"/>
  <c r="BF46" i="58"/>
  <c r="N53" i="57"/>
  <c r="AJ55" i="47"/>
  <c r="AI55" i="58"/>
  <c r="AO67" i="57"/>
  <c r="AO68" i="57"/>
  <c r="N41" i="58"/>
  <c r="G36" i="58"/>
  <c r="G38" i="58"/>
  <c r="I27" i="19" s="1"/>
  <c r="AI32" i="47"/>
  <c r="L50" i="58"/>
  <c r="N52" i="58"/>
  <c r="K60" i="47"/>
  <c r="G24" i="52"/>
  <c r="BH55" i="47"/>
  <c r="BG55" i="58"/>
  <c r="G39" i="52"/>
  <c r="AQ60" i="47"/>
  <c r="AP60" i="58"/>
  <c r="G45" i="52"/>
  <c r="J15" i="58"/>
  <c r="I31" i="58"/>
  <c r="N31" i="58" s="1"/>
  <c r="N31" i="57"/>
  <c r="K57" i="47"/>
  <c r="J57" i="58"/>
  <c r="AY46" i="47"/>
  <c r="AX46" i="58"/>
  <c r="T81" i="7"/>
  <c r="BG17" i="58" s="1"/>
  <c r="H38" i="58"/>
  <c r="J27" i="19" s="1"/>
  <c r="H36" i="58"/>
  <c r="AZ27" i="47"/>
  <c r="AZ27" i="58" s="1"/>
  <c r="N16" i="57"/>
  <c r="I48" i="58"/>
  <c r="N48" i="57"/>
  <c r="N46" i="57"/>
  <c r="I46" i="58"/>
  <c r="N59" i="57"/>
  <c r="N44" i="57"/>
  <c r="I44" i="58"/>
  <c r="N57" i="57"/>
  <c r="N26" i="57"/>
  <c r="BG33" i="47"/>
  <c r="BG32" i="47" s="1"/>
  <c r="AI60" i="47"/>
  <c r="AH60" i="58"/>
  <c r="G31" i="52"/>
  <c r="M22" i="58"/>
  <c r="M50" i="58"/>
  <c r="G65" i="40"/>
  <c r="I9" i="19" s="1"/>
  <c r="H61" i="40"/>
  <c r="T61" i="47"/>
  <c r="S61" i="58"/>
  <c r="Y68" i="57"/>
  <c r="AJ15" i="47"/>
  <c r="AI15" i="58"/>
  <c r="BE68" i="47"/>
  <c r="BE67" i="47"/>
  <c r="N50" i="57"/>
  <c r="I49" i="58"/>
  <c r="N49" i="58" s="1"/>
  <c r="N49" i="57"/>
  <c r="N40" i="57"/>
  <c r="I40" i="58"/>
  <c r="N39" i="57"/>
  <c r="N45" i="57"/>
  <c r="I45" i="58"/>
  <c r="N43" i="57"/>
  <c r="AQ46" i="47"/>
  <c r="AP46" i="58"/>
  <c r="S11" i="7"/>
  <c r="AW68" i="57"/>
  <c r="G65" i="46"/>
  <c r="H65" i="46" s="1"/>
  <c r="H61" i="46"/>
  <c r="Q36" i="58"/>
  <c r="Q64" i="58" s="1"/>
  <c r="G33" i="52"/>
  <c r="G51" i="52"/>
  <c r="Q67" i="57"/>
  <c r="Q68" i="57"/>
  <c r="L18" i="19"/>
  <c r="K36" i="1"/>
  <c r="J22" i="58"/>
  <c r="J50" i="58"/>
  <c r="H64" i="52"/>
  <c r="I64" i="52" s="1"/>
  <c r="J64" i="52" s="1"/>
  <c r="K64" i="52" s="1"/>
  <c r="L64" i="52" s="1"/>
  <c r="N54" i="58"/>
  <c r="AA18" i="47"/>
  <c r="I50" i="58"/>
  <c r="N51" i="58"/>
  <c r="G29" i="52"/>
  <c r="I28" i="58"/>
  <c r="N28" i="58" s="1"/>
  <c r="N28" i="57"/>
  <c r="T18" i="47"/>
  <c r="S60" i="47"/>
  <c r="R60" i="58"/>
  <c r="AX60" i="47"/>
  <c r="AW60" i="58"/>
  <c r="AW36" i="58" s="1"/>
  <c r="AW64" i="58" s="1"/>
  <c r="AW36" i="47"/>
  <c r="AW64" i="47" s="1"/>
  <c r="N23" i="57"/>
  <c r="N41" i="57"/>
  <c r="N56" i="57"/>
  <c r="N25" i="57"/>
  <c r="G11" i="52"/>
  <c r="R36" i="47"/>
  <c r="R64" i="47" s="1"/>
  <c r="S55" i="47"/>
  <c r="R55" i="58"/>
  <c r="L15" i="58"/>
  <c r="M15" i="47"/>
  <c r="G41" i="52"/>
  <c r="AY32" i="47"/>
  <c r="K22" i="58"/>
  <c r="I65" i="47"/>
  <c r="L8" i="60"/>
  <c r="K12" i="60"/>
  <c r="K51" i="60" s="1"/>
  <c r="AY61" i="47"/>
  <c r="AX61" i="58"/>
  <c r="AG67" i="57"/>
  <c r="AG68" i="57"/>
  <c r="G37" i="52"/>
  <c r="N52" i="57"/>
  <c r="I21" i="58"/>
  <c r="N21" i="58" s="1"/>
  <c r="N21" i="57"/>
  <c r="N54" i="57"/>
  <c r="N17" i="57"/>
  <c r="N42" i="57"/>
  <c r="I42" i="58"/>
  <c r="T27" i="7"/>
  <c r="AA17" i="58" s="1"/>
  <c r="Q67" i="47"/>
  <c r="Q68" i="47"/>
  <c r="BG60" i="47"/>
  <c r="G68" i="47"/>
  <c r="G67" i="47"/>
  <c r="J39" i="58"/>
  <c r="J38" i="47"/>
  <c r="L21" i="60"/>
  <c r="L50" i="60" s="1"/>
  <c r="M14" i="60"/>
  <c r="M21" i="60" s="1"/>
  <c r="M50" i="60" s="1"/>
  <c r="K42" i="58"/>
  <c r="I56" i="58"/>
  <c r="G23" i="52"/>
  <c r="N26" i="58"/>
  <c r="N53" i="58"/>
  <c r="K27" i="47"/>
  <c r="K27" i="58" s="1"/>
  <c r="N55" i="57"/>
  <c r="N22" i="57"/>
  <c r="R45" i="7"/>
  <c r="R53" i="7"/>
  <c r="AW17" i="58" s="1"/>
  <c r="Y33" i="58"/>
  <c r="I32" i="58"/>
  <c r="I61" i="57"/>
  <c r="AO36" i="58"/>
  <c r="AO64" i="58" s="1"/>
  <c r="J43" i="58"/>
  <c r="L46" i="47"/>
  <c r="K46" i="58"/>
  <c r="M21" i="19" s="1"/>
  <c r="I39" i="58"/>
  <c r="N24" i="58"/>
  <c r="H62" i="52"/>
  <c r="K16" i="19" s="1"/>
  <c r="H63" i="52"/>
  <c r="I63" i="52" s="1"/>
  <c r="J63" i="52" s="1"/>
  <c r="K63" i="52" s="1"/>
  <c r="L63" i="52" s="1"/>
  <c r="N25" i="58"/>
  <c r="AA55" i="58" l="1"/>
  <c r="V34" i="7"/>
  <c r="V57" i="7"/>
  <c r="V76" i="7"/>
  <c r="V75" i="7"/>
  <c r="V64" i="7"/>
  <c r="V67" i="7"/>
  <c r="V71" i="7"/>
  <c r="V62" i="7"/>
  <c r="V74" i="7"/>
  <c r="V72" i="7"/>
  <c r="V63" i="7"/>
  <c r="V68" i="7"/>
  <c r="V66" i="7"/>
  <c r="V73" i="7"/>
  <c r="V69" i="7"/>
  <c r="V65" i="7"/>
  <c r="V70" i="7"/>
  <c r="V59" i="7"/>
  <c r="AH27" i="58"/>
  <c r="AI27" i="47"/>
  <c r="Z55" i="58"/>
  <c r="Z36" i="58" s="1"/>
  <c r="Z64" i="58" s="1"/>
  <c r="AA36" i="47"/>
  <c r="AA64" i="47" s="1"/>
  <c r="Z36" i="47"/>
  <c r="Z64" i="47" s="1"/>
  <c r="S38" i="7"/>
  <c r="AH17" i="58" s="1"/>
  <c r="U41" i="7"/>
  <c r="V41" i="7" s="1"/>
  <c r="T38" i="7"/>
  <c r="AI17" i="58" s="1"/>
  <c r="AI33" i="57"/>
  <c r="AJ33" i="57" s="1"/>
  <c r="AQ33" i="57"/>
  <c r="AY33" i="57"/>
  <c r="AZ33" i="57" s="1"/>
  <c r="BA33" i="57" s="1"/>
  <c r="BI33" i="57"/>
  <c r="T48" i="7"/>
  <c r="S45" i="7"/>
  <c r="AP17" i="58" s="1"/>
  <c r="L14" i="19"/>
  <c r="L15" i="19" s="1"/>
  <c r="AC33" i="57"/>
  <c r="Y68" i="47"/>
  <c r="F94" i="45"/>
  <c r="F89" i="45" s="1"/>
  <c r="F87" i="45" s="1"/>
  <c r="F59" i="52" s="1"/>
  <c r="I36" i="19" s="1"/>
  <c r="T20" i="7"/>
  <c r="S17" i="7"/>
  <c r="R17" i="58" s="1"/>
  <c r="Y67" i="47"/>
  <c r="S13" i="47"/>
  <c r="S65" i="47" s="1"/>
  <c r="BG36" i="47"/>
  <c r="BG64" i="47" s="1"/>
  <c r="T27" i="47"/>
  <c r="T27" i="58" s="1"/>
  <c r="AQ13" i="47"/>
  <c r="AQ65" i="47" s="1"/>
  <c r="AR27" i="47"/>
  <c r="AR27" i="58" s="1"/>
  <c r="AA27" i="47"/>
  <c r="AA27" i="58" s="1"/>
  <c r="Z13" i="47"/>
  <c r="Z65" i="47" s="1"/>
  <c r="V21" i="7"/>
  <c r="V60" i="7"/>
  <c r="V33" i="7"/>
  <c r="BH27" i="47"/>
  <c r="BH27" i="58" s="1"/>
  <c r="I7" i="58"/>
  <c r="V56" i="7"/>
  <c r="I8" i="58"/>
  <c r="V36" i="7"/>
  <c r="V22" i="7"/>
  <c r="V50" i="7"/>
  <c r="V35" i="7"/>
  <c r="V23" i="7"/>
  <c r="W23" i="7" s="1"/>
  <c r="V84" i="7"/>
  <c r="V49" i="7"/>
  <c r="V32" i="7"/>
  <c r="V51" i="7"/>
  <c r="V79" i="7"/>
  <c r="V43" i="7"/>
  <c r="V31" i="7"/>
  <c r="V78" i="7"/>
  <c r="V42" i="7"/>
  <c r="V30" i="7"/>
  <c r="V24" i="7"/>
  <c r="V85" i="7"/>
  <c r="V61" i="7"/>
  <c r="V25" i="7"/>
  <c r="AC43" i="47"/>
  <c r="AC43" i="58" s="1"/>
  <c r="AB43" i="58"/>
  <c r="T45" i="47"/>
  <c r="S45" i="58"/>
  <c r="T43" i="47"/>
  <c r="S43" i="58"/>
  <c r="AH68" i="47"/>
  <c r="S30" i="60"/>
  <c r="S27" i="60"/>
  <c r="AZ38" i="47"/>
  <c r="AY42" i="58"/>
  <c r="AY38" i="58" s="1"/>
  <c r="S29" i="60"/>
  <c r="T30" i="47"/>
  <c r="S30" i="58"/>
  <c r="H33" i="52"/>
  <c r="N29" i="58"/>
  <c r="AH36" i="58"/>
  <c r="AH64" i="58" s="1"/>
  <c r="H41" i="52"/>
  <c r="AK44" i="47"/>
  <c r="AK44" i="58" s="1"/>
  <c r="AJ44" i="58"/>
  <c r="AZ39" i="58"/>
  <c r="BI16" i="47"/>
  <c r="BI16" i="58" s="1"/>
  <c r="BH16" i="58"/>
  <c r="AC15" i="47"/>
  <c r="AC15" i="58" s="1"/>
  <c r="AB15" i="58"/>
  <c r="AR38" i="47"/>
  <c r="AR39" i="58"/>
  <c r="AR38" i="58" s="1"/>
  <c r="AC40" i="58"/>
  <c r="AB40" i="58"/>
  <c r="AB38" i="58" s="1"/>
  <c r="AB38" i="47"/>
  <c r="U15" i="47"/>
  <c r="U15" i="58" s="1"/>
  <c r="T15" i="58"/>
  <c r="AC39" i="58"/>
  <c r="AJ46" i="47"/>
  <c r="AI46" i="58"/>
  <c r="BH38" i="47"/>
  <c r="BH39" i="58"/>
  <c r="BH38" i="58" s="1"/>
  <c r="N48" i="58"/>
  <c r="I59" i="60"/>
  <c r="I58" i="60"/>
  <c r="S26" i="60"/>
  <c r="L53" i="60"/>
  <c r="J56" i="60"/>
  <c r="K45" i="60"/>
  <c r="M24" i="60"/>
  <c r="S24" i="60" s="1"/>
  <c r="S28" i="60"/>
  <c r="R24" i="60"/>
  <c r="H51" i="52"/>
  <c r="H46" i="52"/>
  <c r="H23" i="52"/>
  <c r="Z45" i="7"/>
  <c r="H17" i="52" s="1"/>
  <c r="AO17" i="58"/>
  <c r="AO13" i="58" s="1"/>
  <c r="AO65" i="58" s="1"/>
  <c r="AO68" i="58" s="1"/>
  <c r="Y17" i="58"/>
  <c r="Y13" i="58" s="1"/>
  <c r="Y65" i="58" s="1"/>
  <c r="AH32" i="58"/>
  <c r="AG17" i="58"/>
  <c r="AG13" i="58" s="1"/>
  <c r="AG65" i="58" s="1"/>
  <c r="AG67" i="58" s="1"/>
  <c r="AB46" i="47"/>
  <c r="AB36" i="47" s="1"/>
  <c r="AB64" i="47" s="1"/>
  <c r="AA46" i="58"/>
  <c r="T46" i="47"/>
  <c r="S46" i="58"/>
  <c r="H39" i="52"/>
  <c r="AC9" i="7"/>
  <c r="V9" i="7"/>
  <c r="AD9" i="7" s="1"/>
  <c r="Z38" i="7"/>
  <c r="N9" i="7"/>
  <c r="Z32" i="58"/>
  <c r="Z27" i="7"/>
  <c r="AA27" i="7" s="1"/>
  <c r="R36" i="58"/>
  <c r="R64" i="58" s="1"/>
  <c r="N22" i="58"/>
  <c r="T55" i="47"/>
  <c r="S36" i="47"/>
  <c r="S64" i="47" s="1"/>
  <c r="S55" i="58"/>
  <c r="AW68" i="47"/>
  <c r="AW67" i="47"/>
  <c r="AJ60" i="47"/>
  <c r="AI60" i="58"/>
  <c r="AR60" i="47"/>
  <c r="AQ60" i="58"/>
  <c r="BI55" i="47"/>
  <c r="BH55" i="58"/>
  <c r="AP67" i="47"/>
  <c r="AP68" i="47"/>
  <c r="I67" i="47"/>
  <c r="I68" i="47"/>
  <c r="AB32" i="47"/>
  <c r="I33" i="58"/>
  <c r="AC55" i="47"/>
  <c r="AB55" i="58"/>
  <c r="R68" i="47"/>
  <c r="R67" i="47"/>
  <c r="U61" i="47"/>
  <c r="U61" i="58" s="1"/>
  <c r="T61" i="58"/>
  <c r="BH33" i="47"/>
  <c r="BH32" i="47" s="1"/>
  <c r="U81" i="7"/>
  <c r="BH17" i="58" s="1"/>
  <c r="I26" i="19"/>
  <c r="G64" i="58"/>
  <c r="K55" i="47"/>
  <c r="K36" i="47" s="1"/>
  <c r="K64" i="47" s="1"/>
  <c r="J55" i="58"/>
  <c r="AH67" i="47"/>
  <c r="M61" i="47"/>
  <c r="AZ32" i="47"/>
  <c r="BG13" i="47"/>
  <c r="BG65" i="47" s="1"/>
  <c r="L43" i="47"/>
  <c r="K43" i="58"/>
  <c r="U18" i="47"/>
  <c r="M18" i="19"/>
  <c r="L36" i="1"/>
  <c r="H65" i="40"/>
  <c r="BA27" i="47"/>
  <c r="BA27" i="58" s="1"/>
  <c r="Z81" i="7"/>
  <c r="AR55" i="47"/>
  <c r="AQ36" i="47"/>
  <c r="AQ64" i="47" s="1"/>
  <c r="AQ55" i="58"/>
  <c r="L42" i="58"/>
  <c r="M42" i="58"/>
  <c r="U27" i="7"/>
  <c r="AB17" i="58" s="1"/>
  <c r="AY13" i="47"/>
  <c r="AY65" i="47" s="1"/>
  <c r="AI36" i="47"/>
  <c r="AI64" i="47" s="1"/>
  <c r="BF68" i="47"/>
  <c r="BF67" i="47"/>
  <c r="L16" i="47"/>
  <c r="K16" i="58"/>
  <c r="L27" i="47"/>
  <c r="L27" i="58" s="1"/>
  <c r="K13" i="47"/>
  <c r="N50" i="58"/>
  <c r="L60" i="47"/>
  <c r="Z53" i="7"/>
  <c r="AW13" i="58"/>
  <c r="AW65" i="58" s="1"/>
  <c r="AW68" i="58" s="1"/>
  <c r="AZ61" i="47"/>
  <c r="AY61" i="58"/>
  <c r="BH60" i="47"/>
  <c r="T60" i="47"/>
  <c r="S60" i="58"/>
  <c r="AB18" i="47"/>
  <c r="AR46" i="47"/>
  <c r="AQ46" i="58"/>
  <c r="K21" i="19"/>
  <c r="H64" i="58"/>
  <c r="J26" i="19"/>
  <c r="L57" i="47"/>
  <c r="K57" i="58"/>
  <c r="AK55" i="47"/>
  <c r="AJ55" i="58"/>
  <c r="S53" i="7"/>
  <c r="AX17" i="58" s="1"/>
  <c r="L46" i="58"/>
  <c r="N21" i="19" s="1"/>
  <c r="M46" i="47"/>
  <c r="M46" i="58" s="1"/>
  <c r="O21" i="19" s="1"/>
  <c r="L12" i="60"/>
  <c r="L51" i="60" s="1"/>
  <c r="M8" i="60"/>
  <c r="M12" i="60" s="1"/>
  <c r="M51" i="60" s="1"/>
  <c r="M15" i="58"/>
  <c r="H11" i="52"/>
  <c r="G9" i="52"/>
  <c r="AK15" i="47"/>
  <c r="AK15" i="58" s="1"/>
  <c r="AJ15" i="58"/>
  <c r="AJ32" i="47"/>
  <c r="K28" i="19"/>
  <c r="I38" i="58"/>
  <c r="K27" i="19" s="1"/>
  <c r="K39" i="58"/>
  <c r="K38" i="47"/>
  <c r="AY60" i="47"/>
  <c r="AX60" i="58"/>
  <c r="AX36" i="58" s="1"/>
  <c r="AX64" i="58" s="1"/>
  <c r="AX36" i="47"/>
  <c r="AX64" i="47" s="1"/>
  <c r="I62" i="52"/>
  <c r="L16" i="19" s="1"/>
  <c r="K35" i="19"/>
  <c r="N56" i="58"/>
  <c r="J38" i="58"/>
  <c r="L27" i="19" s="1"/>
  <c r="L28" i="19"/>
  <c r="T11" i="7"/>
  <c r="AZ46" i="47"/>
  <c r="AY46" i="58"/>
  <c r="BH46" i="47"/>
  <c r="BG46" i="58"/>
  <c r="AP36" i="58"/>
  <c r="AP64" i="58" s="1"/>
  <c r="BA55" i="47"/>
  <c r="AZ55" i="58"/>
  <c r="AA36" i="58" l="1"/>
  <c r="AA64" i="58" s="1"/>
  <c r="W34" i="7"/>
  <c r="AA38" i="7"/>
  <c r="AB38" i="7" s="1"/>
  <c r="W78" i="7"/>
  <c r="U38" i="7"/>
  <c r="AJ17" i="58" s="1"/>
  <c r="AK33" i="57"/>
  <c r="W62" i="7"/>
  <c r="W35" i="7"/>
  <c r="W50" i="7"/>
  <c r="W61" i="7"/>
  <c r="W49" i="7"/>
  <c r="W33" i="7"/>
  <c r="W22" i="7"/>
  <c r="W32" i="7"/>
  <c r="W31" i="7"/>
  <c r="W30" i="7"/>
  <c r="AJ27" i="47"/>
  <c r="AI13" i="47"/>
  <c r="AI65" i="47" s="1"/>
  <c r="AI67" i="47" s="1"/>
  <c r="AI27" i="58"/>
  <c r="Z68" i="47"/>
  <c r="BG68" i="47"/>
  <c r="I46" i="19"/>
  <c r="M14" i="19"/>
  <c r="M15" i="19" s="1"/>
  <c r="U48" i="7"/>
  <c r="T45" i="7"/>
  <c r="AQ17" i="58" s="1"/>
  <c r="AR33" i="57"/>
  <c r="I41" i="19"/>
  <c r="I42" i="19"/>
  <c r="I10" i="19"/>
  <c r="I11" i="19" s="1"/>
  <c r="I39" i="19"/>
  <c r="T17" i="7"/>
  <c r="S17" i="58" s="1"/>
  <c r="U20" i="7"/>
  <c r="U27" i="47"/>
  <c r="U27" i="58" s="1"/>
  <c r="T13" i="47"/>
  <c r="T65" i="47" s="1"/>
  <c r="Z67" i="47"/>
  <c r="AS27" i="47"/>
  <c r="AS27" i="58" s="1"/>
  <c r="AR13" i="47"/>
  <c r="AR65" i="47" s="1"/>
  <c r="AB27" i="47"/>
  <c r="AB27" i="58" s="1"/>
  <c r="AA13" i="47"/>
  <c r="AA65" i="47" s="1"/>
  <c r="AA67" i="47" s="1"/>
  <c r="BI27" i="47"/>
  <c r="BI27" i="58" s="1"/>
  <c r="BH13" i="47"/>
  <c r="BH65" i="47" s="1"/>
  <c r="W21" i="7"/>
  <c r="W60" i="7"/>
  <c r="H29" i="52"/>
  <c r="W41" i="7"/>
  <c r="W56" i="7"/>
  <c r="I40" i="19"/>
  <c r="I33" i="52"/>
  <c r="U45" i="47"/>
  <c r="U45" i="58" s="1"/>
  <c r="T45" i="58"/>
  <c r="S14" i="7"/>
  <c r="J17" i="58" s="1"/>
  <c r="U30" i="47"/>
  <c r="U30" i="58" s="1"/>
  <c r="T30" i="58"/>
  <c r="BA42" i="58"/>
  <c r="AZ42" i="58"/>
  <c r="AZ38" i="58" s="1"/>
  <c r="U43" i="47"/>
  <c r="U43" i="58" s="1"/>
  <c r="T43" i="58"/>
  <c r="AI36" i="58"/>
  <c r="AI64" i="58" s="1"/>
  <c r="J46" i="60"/>
  <c r="I41" i="52"/>
  <c r="J47" i="60"/>
  <c r="F7" i="7"/>
  <c r="AI33" i="58"/>
  <c r="I51" i="52"/>
  <c r="H37" i="52"/>
  <c r="H25" i="52"/>
  <c r="AH33" i="58"/>
  <c r="BA39" i="58"/>
  <c r="AJ36" i="47"/>
  <c r="AJ64" i="47" s="1"/>
  <c r="AC38" i="58"/>
  <c r="AC38" i="47"/>
  <c r="AS38" i="47"/>
  <c r="AS39" i="58"/>
  <c r="AS38" i="58" s="1"/>
  <c r="BI38" i="47"/>
  <c r="BI39" i="58"/>
  <c r="BI38" i="58" s="1"/>
  <c r="AK46" i="47"/>
  <c r="AK46" i="58" s="1"/>
  <c r="AJ46" i="58"/>
  <c r="BG67" i="47"/>
  <c r="H31" i="52"/>
  <c r="AA45" i="7"/>
  <c r="I17" i="52" s="1"/>
  <c r="H24" i="52"/>
  <c r="K56" i="60"/>
  <c r="L45" i="60"/>
  <c r="M53" i="60"/>
  <c r="H45" i="52"/>
  <c r="H43" i="52"/>
  <c r="H15" i="52"/>
  <c r="Y67" i="58"/>
  <c r="Y68" i="58"/>
  <c r="G57" i="52"/>
  <c r="AG68" i="58"/>
  <c r="AC46" i="47"/>
  <c r="AC46" i="58" s="1"/>
  <c r="AB46" i="58"/>
  <c r="AB36" i="58" s="1"/>
  <c r="AB64" i="58" s="1"/>
  <c r="U46" i="47"/>
  <c r="U46" i="58" s="1"/>
  <c r="T46" i="58"/>
  <c r="V27" i="7"/>
  <c r="AC17" i="58" s="1"/>
  <c r="V81" i="7"/>
  <c r="BI17" i="58" s="1"/>
  <c r="V38" i="7"/>
  <c r="AK17" i="58" s="1"/>
  <c r="Z33" i="58"/>
  <c r="AA32" i="58"/>
  <c r="H16" i="52"/>
  <c r="AW67" i="58"/>
  <c r="AQ36" i="58"/>
  <c r="AQ64" i="58" s="1"/>
  <c r="H21" i="52"/>
  <c r="H68" i="58"/>
  <c r="H67" i="58"/>
  <c r="H42" i="52"/>
  <c r="T36" i="47"/>
  <c r="T64" i="47" s="1"/>
  <c r="U55" i="47"/>
  <c r="T55" i="58"/>
  <c r="M27" i="47"/>
  <c r="L13" i="47"/>
  <c r="L65" i="47" s="1"/>
  <c r="L16" i="58"/>
  <c r="M16" i="47"/>
  <c r="M16" i="58" s="1"/>
  <c r="AQ68" i="47"/>
  <c r="AQ67" i="47"/>
  <c r="J64" i="47"/>
  <c r="H34" i="52"/>
  <c r="H50" i="52"/>
  <c r="H20" i="52"/>
  <c r="BA55" i="58"/>
  <c r="T53" i="7"/>
  <c r="AY17" i="58" s="1"/>
  <c r="BA61" i="47"/>
  <c r="BA61" i="58" s="1"/>
  <c r="AZ61" i="58"/>
  <c r="AS55" i="47"/>
  <c r="AR36" i="47"/>
  <c r="AR64" i="47" s="1"/>
  <c r="AR55" i="58"/>
  <c r="BA32" i="47"/>
  <c r="BA13" i="47" s="1"/>
  <c r="BA65" i="47" s="1"/>
  <c r="AP32" i="58"/>
  <c r="AP33" i="58"/>
  <c r="H52" i="52"/>
  <c r="H40" i="52"/>
  <c r="AK55" i="58"/>
  <c r="I61" i="58"/>
  <c r="I60" i="58"/>
  <c r="I36" i="57"/>
  <c r="I64" i="57" s="1"/>
  <c r="H48" i="52"/>
  <c r="H26" i="52"/>
  <c r="L55" i="47"/>
  <c r="K55" i="58"/>
  <c r="H44" i="52"/>
  <c r="AS60" i="47"/>
  <c r="AS60" i="58" s="1"/>
  <c r="AR60" i="58"/>
  <c r="AK60" i="47"/>
  <c r="AK60" i="58" s="1"/>
  <c r="AJ60" i="58"/>
  <c r="H32" i="52"/>
  <c r="H49" i="52"/>
  <c r="M60" i="47"/>
  <c r="L57" i="58"/>
  <c r="M57" i="47"/>
  <c r="H36" i="52"/>
  <c r="AS46" i="47"/>
  <c r="AS46" i="58" s="1"/>
  <c r="AR46" i="58"/>
  <c r="H53" i="52"/>
  <c r="H27" i="52"/>
  <c r="H47" i="52"/>
  <c r="H30" i="52"/>
  <c r="AA53" i="7"/>
  <c r="H18" i="52"/>
  <c r="AX68" i="47"/>
  <c r="AX67" i="47"/>
  <c r="AC18" i="47"/>
  <c r="K38" i="58"/>
  <c r="M27" i="19" s="1"/>
  <c r="M28" i="19"/>
  <c r="I29" i="52"/>
  <c r="I43" i="52"/>
  <c r="N18" i="19"/>
  <c r="M36" i="1"/>
  <c r="O18" i="19" s="1"/>
  <c r="L43" i="58"/>
  <c r="M43" i="47"/>
  <c r="H22" i="52"/>
  <c r="I25" i="52"/>
  <c r="K65" i="47"/>
  <c r="J62" i="52"/>
  <c r="M16" i="19" s="1"/>
  <c r="AK32" i="47"/>
  <c r="AJ13" i="47"/>
  <c r="AJ65" i="47" s="1"/>
  <c r="H38" i="52"/>
  <c r="I24" i="52"/>
  <c r="U11" i="7"/>
  <c r="L39" i="58"/>
  <c r="L38" i="47"/>
  <c r="AX33" i="58"/>
  <c r="AX32" i="58"/>
  <c r="BF32" i="58"/>
  <c r="BF33" i="58"/>
  <c r="AZ13" i="47"/>
  <c r="AZ65" i="47" s="1"/>
  <c r="G67" i="58"/>
  <c r="G68" i="58"/>
  <c r="AC32" i="47"/>
  <c r="BI55" i="58"/>
  <c r="S36" i="58"/>
  <c r="S64" i="58" s="1"/>
  <c r="I31" i="52"/>
  <c r="BI46" i="47"/>
  <c r="BI46" i="58" s="1"/>
  <c r="BH46" i="58"/>
  <c r="AZ60" i="47"/>
  <c r="AY60" i="58"/>
  <c r="AY36" i="58" s="1"/>
  <c r="AY64" i="58" s="1"/>
  <c r="AY36" i="47"/>
  <c r="AY64" i="47" s="1"/>
  <c r="U60" i="47"/>
  <c r="U60" i="58" s="1"/>
  <c r="T60" i="58"/>
  <c r="I11" i="52"/>
  <c r="AO67" i="58"/>
  <c r="AB27" i="7"/>
  <c r="I15" i="52"/>
  <c r="BA46" i="47"/>
  <c r="BA46" i="58" s="1"/>
  <c r="AZ46" i="58"/>
  <c r="H28" i="52"/>
  <c r="J41" i="19"/>
  <c r="J42" i="19"/>
  <c r="BI60" i="47"/>
  <c r="I45" i="52"/>
  <c r="H35" i="52"/>
  <c r="H19" i="52"/>
  <c r="AA81" i="7"/>
  <c r="F66" i="52"/>
  <c r="I37" i="52"/>
  <c r="BI33" i="47"/>
  <c r="BI32" i="47" s="1"/>
  <c r="AC55" i="58"/>
  <c r="BH36" i="47"/>
  <c r="BH64" i="47" s="1"/>
  <c r="S68" i="47"/>
  <c r="S67" i="47"/>
  <c r="I16" i="52" l="1"/>
  <c r="AS33" i="57"/>
  <c r="AI68" i="47"/>
  <c r="AJ27" i="58"/>
  <c r="AK27" i="47"/>
  <c r="AK27" i="58" s="1"/>
  <c r="I12" i="19"/>
  <c r="I17" i="19" s="1"/>
  <c r="I45" i="19" s="1"/>
  <c r="U45" i="7"/>
  <c r="AR17" i="58" s="1"/>
  <c r="V48" i="7"/>
  <c r="N14" i="19"/>
  <c r="N15" i="19" s="1"/>
  <c r="U17" i="7"/>
  <c r="T17" i="58" s="1"/>
  <c r="V20" i="7"/>
  <c r="U13" i="47"/>
  <c r="U65" i="47" s="1"/>
  <c r="N30" i="47"/>
  <c r="AA68" i="47"/>
  <c r="N30" i="58"/>
  <c r="AJ36" i="58"/>
  <c r="AJ64" i="58" s="1"/>
  <c r="M27" i="58"/>
  <c r="AS13" i="47"/>
  <c r="AS65" i="47" s="1"/>
  <c r="AC27" i="47"/>
  <c r="AC27" i="58" s="1"/>
  <c r="AB13" i="47"/>
  <c r="AB65" i="47" s="1"/>
  <c r="AB67" i="47" s="1"/>
  <c r="N44" i="58"/>
  <c r="N42" i="47"/>
  <c r="BA38" i="47"/>
  <c r="BA38" i="58"/>
  <c r="I39" i="52"/>
  <c r="N44" i="47"/>
  <c r="J57" i="60"/>
  <c r="J59" i="60" s="1"/>
  <c r="S13" i="7"/>
  <c r="T14" i="7"/>
  <c r="K17" i="58" s="1"/>
  <c r="N15" i="47"/>
  <c r="I46" i="52"/>
  <c r="AA33" i="58"/>
  <c r="N40" i="47"/>
  <c r="AB32" i="58"/>
  <c r="AI32" i="58"/>
  <c r="N16" i="47"/>
  <c r="I23" i="52"/>
  <c r="AB45" i="7"/>
  <c r="J17" i="52" s="1"/>
  <c r="J51" i="52"/>
  <c r="N18" i="47"/>
  <c r="N15" i="58"/>
  <c r="AJ67" i="47"/>
  <c r="AC36" i="47"/>
  <c r="AC64" i="47" s="1"/>
  <c r="N33" i="47"/>
  <c r="M45" i="60"/>
  <c r="M56" i="60" s="1"/>
  <c r="L56" i="60"/>
  <c r="AC36" i="58"/>
  <c r="AC64" i="58" s="1"/>
  <c r="N16" i="58"/>
  <c r="N46" i="58"/>
  <c r="AK36" i="47"/>
  <c r="AK64" i="47" s="1"/>
  <c r="H71" i="58"/>
  <c r="G8" i="26" s="1"/>
  <c r="J9" i="19" s="1"/>
  <c r="AK36" i="58"/>
  <c r="AK64" i="58" s="1"/>
  <c r="BI13" i="47"/>
  <c r="BI65" i="47" s="1"/>
  <c r="I18" i="52"/>
  <c r="AB53" i="7"/>
  <c r="J43" i="52"/>
  <c r="J29" i="52"/>
  <c r="I30" i="52"/>
  <c r="I47" i="52"/>
  <c r="I53" i="52"/>
  <c r="I26" i="52"/>
  <c r="I50" i="52"/>
  <c r="J68" i="47"/>
  <c r="J67" i="47"/>
  <c r="L24" i="19"/>
  <c r="BH68" i="47"/>
  <c r="BH67" i="47"/>
  <c r="AC27" i="7"/>
  <c r="J15" i="52"/>
  <c r="J31" i="52"/>
  <c r="I32" i="19"/>
  <c r="F61" i="52"/>
  <c r="I33" i="19" s="1"/>
  <c r="I27" i="52"/>
  <c r="I48" i="52"/>
  <c r="I34" i="52"/>
  <c r="AC38" i="7"/>
  <c r="J16" i="52"/>
  <c r="G71" i="58"/>
  <c r="N61" i="47"/>
  <c r="K62" i="52"/>
  <c r="N16" i="19" s="1"/>
  <c r="M43" i="58"/>
  <c r="N43" i="58" s="1"/>
  <c r="N43" i="47"/>
  <c r="J23" i="52"/>
  <c r="I49" i="52"/>
  <c r="I44" i="52"/>
  <c r="AJ68" i="47"/>
  <c r="L38" i="58"/>
  <c r="N27" i="19" s="1"/>
  <c r="N28" i="19"/>
  <c r="N58" i="47"/>
  <c r="I35" i="52"/>
  <c r="N32" i="47"/>
  <c r="AR36" i="58"/>
  <c r="AR64" i="58" s="1"/>
  <c r="U53" i="7"/>
  <c r="AZ17" i="58" s="1"/>
  <c r="N46" i="47"/>
  <c r="M13" i="47"/>
  <c r="J37" i="52"/>
  <c r="AY33" i="58"/>
  <c r="AY32" i="58"/>
  <c r="J24" i="52"/>
  <c r="J25" i="52"/>
  <c r="I36" i="52"/>
  <c r="AR68" i="47"/>
  <c r="AR67" i="47"/>
  <c r="I20" i="52"/>
  <c r="I36" i="58"/>
  <c r="I52" i="52"/>
  <c r="T68" i="47"/>
  <c r="T67" i="47"/>
  <c r="J45" i="52"/>
  <c r="I22" i="52"/>
  <c r="I28" i="52"/>
  <c r="BI36" i="47"/>
  <c r="BI64" i="47" s="1"/>
  <c r="V11" i="7"/>
  <c r="J46" i="52"/>
  <c r="N45" i="47"/>
  <c r="I38" i="52"/>
  <c r="K68" i="47"/>
  <c r="K67" i="47"/>
  <c r="AS36" i="47"/>
  <c r="AS64" i="47" s="1"/>
  <c r="AS55" i="58"/>
  <c r="AS36" i="58" s="1"/>
  <c r="AS64" i="58" s="1"/>
  <c r="T36" i="58"/>
  <c r="T64" i="58" s="1"/>
  <c r="I21" i="52"/>
  <c r="J11" i="52"/>
  <c r="I19" i="52"/>
  <c r="AB81" i="7"/>
  <c r="BG33" i="58"/>
  <c r="BG32" i="58"/>
  <c r="AY67" i="47"/>
  <c r="AY68" i="47"/>
  <c r="BA60" i="47"/>
  <c r="AZ60" i="58"/>
  <c r="AZ36" i="58" s="1"/>
  <c r="AZ64" i="58" s="1"/>
  <c r="AZ36" i="47"/>
  <c r="AZ64" i="47" s="1"/>
  <c r="M39" i="58"/>
  <c r="M38" i="47"/>
  <c r="N39" i="47"/>
  <c r="M57" i="58"/>
  <c r="N57" i="58" s="1"/>
  <c r="N57" i="47"/>
  <c r="I32" i="52"/>
  <c r="J39" i="52"/>
  <c r="L55" i="58"/>
  <c r="M55" i="47"/>
  <c r="L36" i="47"/>
  <c r="I40" i="52"/>
  <c r="AQ32" i="58"/>
  <c r="AQ33" i="58"/>
  <c r="U36" i="47"/>
  <c r="U64" i="47" s="1"/>
  <c r="U55" i="58"/>
  <c r="U36" i="58" s="1"/>
  <c r="U64" i="58" s="1"/>
  <c r="I42" i="52"/>
  <c r="AK13" i="47" l="1"/>
  <c r="AK65" i="47" s="1"/>
  <c r="AK67" i="47" s="1"/>
  <c r="I43" i="19"/>
  <c r="I44" i="19"/>
  <c r="O14" i="19"/>
  <c r="O15" i="19" s="1"/>
  <c r="W48" i="7"/>
  <c r="V45" i="7"/>
  <c r="AS17" i="58" s="1"/>
  <c r="V17" i="7"/>
  <c r="W20" i="7"/>
  <c r="J33" i="52"/>
  <c r="AC13" i="47"/>
  <c r="AC65" i="47" s="1"/>
  <c r="AC68" i="47" s="1"/>
  <c r="N27" i="47"/>
  <c r="J58" i="60"/>
  <c r="K47" i="60" s="1"/>
  <c r="AB68" i="47"/>
  <c r="J41" i="52"/>
  <c r="AC45" i="7"/>
  <c r="T13" i="7"/>
  <c r="AC33" i="58"/>
  <c r="N40" i="58"/>
  <c r="K51" i="52"/>
  <c r="U14" i="7"/>
  <c r="L17" i="58" s="1"/>
  <c r="N38" i="47"/>
  <c r="AB33" i="58"/>
  <c r="N42" i="58"/>
  <c r="AJ32" i="58"/>
  <c r="AJ33" i="58"/>
  <c r="J29" i="19"/>
  <c r="J30" i="19" s="1"/>
  <c r="G66" i="52"/>
  <c r="G61" i="52" s="1"/>
  <c r="F57" i="52"/>
  <c r="M24" i="19"/>
  <c r="K43" i="52"/>
  <c r="L43" i="52"/>
  <c r="BI67" i="47"/>
  <c r="BI68" i="47"/>
  <c r="J44" i="52"/>
  <c r="K16" i="52"/>
  <c r="AD38" i="7"/>
  <c r="L16" i="52" s="1"/>
  <c r="J34" i="52"/>
  <c r="J26" i="52"/>
  <c r="J22" i="52"/>
  <c r="L31" i="52"/>
  <c r="K31" i="52"/>
  <c r="AZ33" i="58"/>
  <c r="AZ32" i="58"/>
  <c r="L37" i="52"/>
  <c r="K37" i="52"/>
  <c r="G9" i="26"/>
  <c r="G59" i="52" s="1"/>
  <c r="J36" i="19" s="1"/>
  <c r="K41" i="52"/>
  <c r="L41" i="52"/>
  <c r="AD27" i="7"/>
  <c r="L15" i="52" s="1"/>
  <c r="K15" i="52"/>
  <c r="J47" i="52"/>
  <c r="L25" i="52"/>
  <c r="K25" i="52"/>
  <c r="V53" i="7"/>
  <c r="BA17" i="58" s="1"/>
  <c r="L23" i="52"/>
  <c r="K23" i="52"/>
  <c r="J30" i="52"/>
  <c r="J18" i="52"/>
  <c r="AC53" i="7"/>
  <c r="J38" i="52"/>
  <c r="L64" i="47"/>
  <c r="BH33" i="58"/>
  <c r="BH32" i="58"/>
  <c r="J52" i="52"/>
  <c r="J49" i="52"/>
  <c r="N58" i="58"/>
  <c r="J50" i="52"/>
  <c r="L29" i="52"/>
  <c r="K29" i="52"/>
  <c r="J42" i="52"/>
  <c r="J28" i="52"/>
  <c r="M36" i="47"/>
  <c r="M64" i="47" s="1"/>
  <c r="M55" i="58"/>
  <c r="N55" i="47"/>
  <c r="O28" i="19"/>
  <c r="M38" i="58"/>
  <c r="O27" i="19" s="1"/>
  <c r="BA60" i="58"/>
  <c r="BA36" i="58" s="1"/>
  <c r="BA64" i="58" s="1"/>
  <c r="BA36" i="47"/>
  <c r="BA64" i="47" s="1"/>
  <c r="K11" i="52"/>
  <c r="AS68" i="47"/>
  <c r="AS67" i="47"/>
  <c r="M65" i="47"/>
  <c r="L62" i="52"/>
  <c r="O16" i="19" s="1"/>
  <c r="I29" i="19"/>
  <c r="G73" i="58"/>
  <c r="G76" i="58" s="1"/>
  <c r="H78" i="58" s="1"/>
  <c r="J48" i="52"/>
  <c r="J27" i="52"/>
  <c r="J53" i="52"/>
  <c r="N39" i="58"/>
  <c r="U67" i="47"/>
  <c r="U68" i="47"/>
  <c r="AZ67" i="47"/>
  <c r="AZ68" i="47"/>
  <c r="AR32" i="58"/>
  <c r="AR33" i="58"/>
  <c r="L45" i="52"/>
  <c r="K45" i="52"/>
  <c r="L24" i="52"/>
  <c r="K24" i="52"/>
  <c r="N27" i="58"/>
  <c r="N60" i="47"/>
  <c r="J35" i="52"/>
  <c r="L33" i="52"/>
  <c r="K33" i="52"/>
  <c r="AK68" i="47"/>
  <c r="J32" i="52"/>
  <c r="J21" i="52"/>
  <c r="J36" i="52"/>
  <c r="L46" i="52"/>
  <c r="K46" i="52"/>
  <c r="J19" i="52"/>
  <c r="AC81" i="7"/>
  <c r="I64" i="58"/>
  <c r="K26" i="19"/>
  <c r="J20" i="52"/>
  <c r="J40" i="52"/>
  <c r="L39" i="52"/>
  <c r="K39" i="52"/>
  <c r="N45" i="58"/>
  <c r="AC67" i="47" l="1"/>
  <c r="AD45" i="7"/>
  <c r="L17" i="52" s="1"/>
  <c r="I30" i="19"/>
  <c r="J31" i="19"/>
  <c r="K46" i="60"/>
  <c r="K57" i="60" s="1"/>
  <c r="N13" i="47"/>
  <c r="N65" i="47"/>
  <c r="AC32" i="58"/>
  <c r="L51" i="52"/>
  <c r="K17" i="52"/>
  <c r="J10" i="19"/>
  <c r="J11" i="19" s="1"/>
  <c r="J40" i="19"/>
  <c r="U17" i="58"/>
  <c r="V14" i="7"/>
  <c r="U13" i="7"/>
  <c r="AK32" i="58"/>
  <c r="AK33" i="58"/>
  <c r="N38" i="58"/>
  <c r="L36" i="52"/>
  <c r="K36" i="52"/>
  <c r="J39" i="19"/>
  <c r="H73" i="58"/>
  <c r="K28" i="52"/>
  <c r="L28" i="52"/>
  <c r="K42" i="52"/>
  <c r="L42" i="52"/>
  <c r="K50" i="52"/>
  <c r="L50" i="52"/>
  <c r="BI32" i="58"/>
  <c r="BI33" i="58"/>
  <c r="AD53" i="7"/>
  <c r="L18" i="52" s="1"/>
  <c r="K18" i="52"/>
  <c r="K30" i="52"/>
  <c r="L30" i="52"/>
  <c r="L11" i="52"/>
  <c r="L52" i="52"/>
  <c r="K52" i="52"/>
  <c r="N36" i="47"/>
  <c r="L38" i="52"/>
  <c r="K38" i="52"/>
  <c r="L26" i="52"/>
  <c r="K26" i="52"/>
  <c r="L21" i="52"/>
  <c r="K21" i="52"/>
  <c r="N55" i="58"/>
  <c r="L22" i="52"/>
  <c r="K22" i="52"/>
  <c r="J32" i="19"/>
  <c r="J33" i="19"/>
  <c r="N24" i="19"/>
  <c r="K27" i="52"/>
  <c r="L27" i="52"/>
  <c r="L68" i="47"/>
  <c r="L67" i="47"/>
  <c r="N64" i="47"/>
  <c r="K19" i="52"/>
  <c r="AD81" i="7"/>
  <c r="L19" i="52" s="1"/>
  <c r="K35" i="52"/>
  <c r="L35" i="52"/>
  <c r="L40" i="52"/>
  <c r="K40" i="52"/>
  <c r="K32" i="52"/>
  <c r="L32" i="52"/>
  <c r="AS32" i="58"/>
  <c r="AS33" i="58"/>
  <c r="L48" i="52"/>
  <c r="K48" i="52"/>
  <c r="M68" i="47"/>
  <c r="M67" i="47"/>
  <c r="K49" i="52"/>
  <c r="L49" i="52"/>
  <c r="BA33" i="58"/>
  <c r="BA32" i="58"/>
  <c r="L34" i="52"/>
  <c r="K34" i="52"/>
  <c r="L44" i="52"/>
  <c r="K44" i="52"/>
  <c r="BA67" i="47"/>
  <c r="BA68" i="47"/>
  <c r="L53" i="52"/>
  <c r="K53" i="52"/>
  <c r="L20" i="52"/>
  <c r="K20" i="52"/>
  <c r="L47" i="52"/>
  <c r="K47" i="52"/>
  <c r="G11" i="26"/>
  <c r="H59" i="26" s="1"/>
  <c r="BE19" i="57" s="1"/>
  <c r="BE19" i="58" l="1"/>
  <c r="BE13" i="57"/>
  <c r="BE65" i="57" s="1"/>
  <c r="BE18" i="58"/>
  <c r="BE13" i="58" s="1"/>
  <c r="BE65" i="58" s="1"/>
  <c r="I19" i="57"/>
  <c r="I19" i="58" s="1"/>
  <c r="K20" i="19" s="1"/>
  <c r="K23" i="19" s="1"/>
  <c r="J12" i="19"/>
  <c r="M17" i="58"/>
  <c r="V13" i="7"/>
  <c r="H76" i="58"/>
  <c r="I78" i="58" s="1"/>
  <c r="K58" i="60"/>
  <c r="K59" i="60"/>
  <c r="BE67" i="58" l="1"/>
  <c r="BE68" i="58"/>
  <c r="BE68" i="57"/>
  <c r="BE67" i="57"/>
  <c r="J17" i="19"/>
  <c r="J45" i="19" s="1"/>
  <c r="O24" i="19"/>
  <c r="L47" i="60"/>
  <c r="L46" i="60"/>
  <c r="J43" i="19"/>
  <c r="J44" i="19"/>
  <c r="I18" i="57"/>
  <c r="J46" i="19"/>
  <c r="I18" i="58" l="1"/>
  <c r="K19" i="19" s="1"/>
  <c r="I13" i="57"/>
  <c r="I65" i="57" s="1"/>
  <c r="L57" i="60"/>
  <c r="I67" i="57" l="1"/>
  <c r="I68" i="57"/>
  <c r="L58" i="60"/>
  <c r="L59" i="60"/>
  <c r="M47" i="60" l="1"/>
  <c r="M46" i="60"/>
  <c r="K41" i="19"/>
  <c r="M57" i="60" l="1"/>
  <c r="M59" i="60" s="1"/>
  <c r="M58" i="60" l="1"/>
  <c r="AX19" i="57" l="1"/>
  <c r="R19" i="57"/>
  <c r="AP19" i="57"/>
  <c r="Z19" i="57"/>
  <c r="AH19" i="57"/>
  <c r="J18" i="57"/>
  <c r="Z19" i="58" l="1"/>
  <c r="Z18" i="58"/>
  <c r="Z13" i="58" s="1"/>
  <c r="Z65" i="58" s="1"/>
  <c r="Z13" i="57"/>
  <c r="Z65" i="57" s="1"/>
  <c r="AP19" i="58"/>
  <c r="AP18" i="58"/>
  <c r="AP13" i="58" s="1"/>
  <c r="AP65" i="58" s="1"/>
  <c r="AP13" i="57"/>
  <c r="AP65" i="57" s="1"/>
  <c r="R19" i="58"/>
  <c r="R18" i="58"/>
  <c r="AX19" i="58"/>
  <c r="AX18" i="58"/>
  <c r="AX13" i="58" s="1"/>
  <c r="AX65" i="58" s="1"/>
  <c r="AX13" i="57"/>
  <c r="AX65" i="57" s="1"/>
  <c r="AH19" i="58"/>
  <c r="AH18" i="58"/>
  <c r="AH13" i="58" s="1"/>
  <c r="AH65" i="58" s="1"/>
  <c r="AH13" i="57"/>
  <c r="AH65" i="57" s="1"/>
  <c r="AP68" i="58" l="1"/>
  <c r="AP67" i="58"/>
  <c r="AX67" i="58"/>
  <c r="AX68" i="58"/>
  <c r="Z67" i="58"/>
  <c r="Z68" i="58"/>
  <c r="AH67" i="58"/>
  <c r="AH68" i="58"/>
  <c r="AP67" i="57"/>
  <c r="AP68" i="57"/>
  <c r="AH67" i="57"/>
  <c r="AH68" i="57"/>
  <c r="Z68" i="57"/>
  <c r="Z67" i="57"/>
  <c r="AX67" i="57"/>
  <c r="AX68" i="57"/>
  <c r="AY19" i="57" l="1"/>
  <c r="AQ19" i="57"/>
  <c r="S19" i="57"/>
  <c r="AI19" i="57"/>
  <c r="AA19" i="57"/>
  <c r="AA19" i="58" l="1"/>
  <c r="AA18" i="58"/>
  <c r="AA13" i="58" s="1"/>
  <c r="AA65" i="58" s="1"/>
  <c r="AA13" i="57"/>
  <c r="AA65" i="57" s="1"/>
  <c r="AI19" i="58"/>
  <c r="AI18" i="58"/>
  <c r="AI13" i="58" s="1"/>
  <c r="AI65" i="58" s="1"/>
  <c r="AI13" i="57"/>
  <c r="AI65" i="57" s="1"/>
  <c r="S19" i="58"/>
  <c r="S18" i="58"/>
  <c r="AQ19" i="58"/>
  <c r="AQ18" i="58"/>
  <c r="AQ13" i="58" s="1"/>
  <c r="AQ65" i="58" s="1"/>
  <c r="AQ13" i="57"/>
  <c r="AQ65" i="57" s="1"/>
  <c r="AY19" i="58"/>
  <c r="AY18" i="58"/>
  <c r="AY13" i="58" s="1"/>
  <c r="AY65" i="58" s="1"/>
  <c r="AY13" i="57"/>
  <c r="AY65" i="57" s="1"/>
  <c r="K18" i="57"/>
  <c r="AY68" i="58" l="1"/>
  <c r="AY67" i="58"/>
  <c r="AI68" i="57"/>
  <c r="AI67" i="57"/>
  <c r="AI68" i="58"/>
  <c r="AI67" i="58"/>
  <c r="AQ68" i="57"/>
  <c r="AQ67" i="57"/>
  <c r="AQ68" i="58"/>
  <c r="AQ67" i="58"/>
  <c r="AA67" i="57"/>
  <c r="AA68" i="57"/>
  <c r="AA68" i="58"/>
  <c r="AA67" i="58"/>
  <c r="AY67" i="57"/>
  <c r="AY68" i="57"/>
  <c r="T19" i="57" l="1"/>
  <c r="AZ19" i="57"/>
  <c r="AB19" i="57"/>
  <c r="AJ19" i="57"/>
  <c r="AR19" i="57"/>
  <c r="AJ19" i="58" l="1"/>
  <c r="AJ18" i="58"/>
  <c r="AJ13" i="58" s="1"/>
  <c r="AJ65" i="58" s="1"/>
  <c r="AJ13" i="57"/>
  <c r="AJ65" i="57" s="1"/>
  <c r="AB19" i="58"/>
  <c r="AB18" i="58"/>
  <c r="AB13" i="58" s="1"/>
  <c r="AB65" i="58" s="1"/>
  <c r="AB13" i="57"/>
  <c r="AB65" i="57" s="1"/>
  <c r="AZ19" i="58"/>
  <c r="AZ18" i="58"/>
  <c r="AZ13" i="58" s="1"/>
  <c r="AZ65" i="58" s="1"/>
  <c r="AZ13" i="57"/>
  <c r="AZ65" i="57" s="1"/>
  <c r="T19" i="58"/>
  <c r="T18" i="58"/>
  <c r="AR19" i="58"/>
  <c r="AR18" i="58"/>
  <c r="AR13" i="58" s="1"/>
  <c r="AR65" i="58" s="1"/>
  <c r="AR13" i="57"/>
  <c r="AR65" i="57" s="1"/>
  <c r="L18" i="57"/>
  <c r="AB68" i="57" l="1"/>
  <c r="AB67" i="57"/>
  <c r="AJ68" i="57"/>
  <c r="AJ67" i="57"/>
  <c r="AB68" i="58"/>
  <c r="AB67" i="58"/>
  <c r="AR67" i="57"/>
  <c r="AR68" i="57"/>
  <c r="AJ67" i="58"/>
  <c r="AJ68" i="58"/>
  <c r="AR68" i="58"/>
  <c r="AR67" i="58"/>
  <c r="AZ67" i="57"/>
  <c r="AZ68" i="57"/>
  <c r="AZ68" i="58"/>
  <c r="AZ67" i="58"/>
  <c r="BA19" i="57" l="1"/>
  <c r="AK19" i="57"/>
  <c r="AS19" i="57"/>
  <c r="AC19" i="57"/>
  <c r="U19" i="57"/>
  <c r="AS19" i="58" l="1"/>
  <c r="AS18" i="58"/>
  <c r="AS13" i="58" s="1"/>
  <c r="AS65" i="58" s="1"/>
  <c r="AS13" i="57"/>
  <c r="AS65" i="57" s="1"/>
  <c r="AK19" i="58"/>
  <c r="AK18" i="58"/>
  <c r="AK13" i="58" s="1"/>
  <c r="AK65" i="58" s="1"/>
  <c r="AK13" i="57"/>
  <c r="AK65" i="57" s="1"/>
  <c r="U19" i="58"/>
  <c r="U18" i="58"/>
  <c r="BA19" i="58"/>
  <c r="BA18" i="58"/>
  <c r="BA13" i="58" s="1"/>
  <c r="BA65" i="58" s="1"/>
  <c r="BA13" i="57"/>
  <c r="BA65" i="57" s="1"/>
  <c r="AC19" i="58"/>
  <c r="AC18" i="58"/>
  <c r="AC13" i="58" s="1"/>
  <c r="AC65" i="58" s="1"/>
  <c r="AC13" i="57"/>
  <c r="AC65" i="57" s="1"/>
  <c r="M18" i="57"/>
  <c r="BA67" i="58" l="1"/>
  <c r="BA68" i="58"/>
  <c r="AS67" i="58"/>
  <c r="AS68" i="58"/>
  <c r="AK67" i="57"/>
  <c r="AK68" i="57"/>
  <c r="BA67" i="57"/>
  <c r="BA68" i="57"/>
  <c r="AC67" i="57"/>
  <c r="AC68" i="57"/>
  <c r="AC68" i="58"/>
  <c r="AC67" i="58"/>
  <c r="AK68" i="58"/>
  <c r="AK67" i="58"/>
  <c r="AS68" i="57"/>
  <c r="AS67" i="57"/>
  <c r="N18" i="57"/>
  <c r="R11" i="7" l="1"/>
  <c r="R33" i="57"/>
  <c r="R13" i="57" s="1"/>
  <c r="R65" i="57" s="1"/>
  <c r="R17" i="7"/>
  <c r="Q17" i="58" s="1"/>
  <c r="Q13" i="58" s="1"/>
  <c r="Q65" i="58" s="1"/>
  <c r="S33" i="57" l="1"/>
  <c r="BG61" i="57" s="1"/>
  <c r="K61" i="57" s="1"/>
  <c r="Q67" i="58"/>
  <c r="Q68" i="58"/>
  <c r="R67" i="57"/>
  <c r="R68" i="57"/>
  <c r="BF61" i="57"/>
  <c r="R32" i="58"/>
  <c r="R13" i="58" s="1"/>
  <c r="R65" i="58" s="1"/>
  <c r="Z17" i="7"/>
  <c r="R33" i="58"/>
  <c r="R14" i="7"/>
  <c r="J33" i="57"/>
  <c r="S32" i="58" l="1"/>
  <c r="S13" i="58" s="1"/>
  <c r="S65" i="58" s="1"/>
  <c r="S68" i="58" s="1"/>
  <c r="S33" i="58"/>
  <c r="S13" i="57"/>
  <c r="S65" i="57" s="1"/>
  <c r="S68" i="57" s="1"/>
  <c r="K33" i="57"/>
  <c r="K32" i="58" s="1"/>
  <c r="BG36" i="57"/>
  <c r="BG64" i="57" s="1"/>
  <c r="BG61" i="58"/>
  <c r="BG60" i="58"/>
  <c r="BG36" i="58" s="1"/>
  <c r="BG64" i="58" s="1"/>
  <c r="T33" i="57"/>
  <c r="T13" i="57" s="1"/>
  <c r="T65" i="57" s="1"/>
  <c r="J32" i="58"/>
  <c r="J33" i="58"/>
  <c r="R13" i="7"/>
  <c r="I17" i="58"/>
  <c r="Z14" i="7"/>
  <c r="K36" i="57"/>
  <c r="K64" i="57" s="1"/>
  <c r="K60" i="58"/>
  <c r="K36" i="58" s="1"/>
  <c r="K61" i="58"/>
  <c r="H14" i="52"/>
  <c r="AA17" i="7"/>
  <c r="R68" i="58"/>
  <c r="R67" i="58"/>
  <c r="BF60" i="58"/>
  <c r="BF36" i="58" s="1"/>
  <c r="BF64" i="58" s="1"/>
  <c r="J61" i="57"/>
  <c r="BF36" i="57"/>
  <c r="BF64" i="57" s="1"/>
  <c r="BF61" i="58"/>
  <c r="S67" i="58" l="1"/>
  <c r="K33" i="58"/>
  <c r="S67" i="57"/>
  <c r="T33" i="58"/>
  <c r="U33" i="57"/>
  <c r="U33" i="58" s="1"/>
  <c r="L33" i="57"/>
  <c r="L32" i="58" s="1"/>
  <c r="BH61" i="57"/>
  <c r="BH61" i="58" s="1"/>
  <c r="T32" i="58"/>
  <c r="T13" i="58" s="1"/>
  <c r="T65" i="58" s="1"/>
  <c r="T67" i="58" s="1"/>
  <c r="J61" i="58"/>
  <c r="J36" i="57"/>
  <c r="J64" i="57" s="1"/>
  <c r="J60" i="58"/>
  <c r="K24" i="19"/>
  <c r="K25" i="19" s="1"/>
  <c r="I13" i="58"/>
  <c r="I65" i="58" s="1"/>
  <c r="N17" i="58"/>
  <c r="AB17" i="7"/>
  <c r="I14" i="52"/>
  <c r="H13" i="52"/>
  <c r="H9" i="52" s="1"/>
  <c r="H57" i="52" s="1"/>
  <c r="AA14" i="7"/>
  <c r="T67" i="57"/>
  <c r="T68" i="57"/>
  <c r="K64" i="58"/>
  <c r="M26" i="19"/>
  <c r="L33" i="58" l="1"/>
  <c r="T68" i="58"/>
  <c r="BI61" i="57"/>
  <c r="BI61" i="58" s="1"/>
  <c r="U32" i="58"/>
  <c r="U13" i="58" s="1"/>
  <c r="U65" i="58" s="1"/>
  <c r="U68" i="58" s="1"/>
  <c r="L61" i="57"/>
  <c r="L61" i="58" s="1"/>
  <c r="BH36" i="57"/>
  <c r="BH64" i="57" s="1"/>
  <c r="U13" i="57"/>
  <c r="U65" i="57" s="1"/>
  <c r="U68" i="57" s="1"/>
  <c r="M33" i="57"/>
  <c r="N33" i="57" s="1"/>
  <c r="BH60" i="58"/>
  <c r="BH36" i="58" s="1"/>
  <c r="BH64" i="58" s="1"/>
  <c r="I13" i="52"/>
  <c r="I9" i="52" s="1"/>
  <c r="I57" i="52" s="1"/>
  <c r="AB14" i="7"/>
  <c r="K42" i="19"/>
  <c r="J36" i="58"/>
  <c r="I68" i="58"/>
  <c r="I67" i="58"/>
  <c r="J14" i="52"/>
  <c r="AC17" i="7"/>
  <c r="I71" i="58" l="1"/>
  <c r="I73" i="58" s="1"/>
  <c r="I76" i="58" s="1"/>
  <c r="J78" i="58" s="1"/>
  <c r="U67" i="57"/>
  <c r="BI36" i="57"/>
  <c r="BI64" i="57" s="1"/>
  <c r="M61" i="57"/>
  <c r="M36" i="57" s="1"/>
  <c r="M64" i="57" s="1"/>
  <c r="L60" i="58"/>
  <c r="L36" i="58" s="1"/>
  <c r="N26" i="19" s="1"/>
  <c r="BI60" i="58"/>
  <c r="BI36" i="58" s="1"/>
  <c r="BI64" i="58" s="1"/>
  <c r="U67" i="58"/>
  <c r="M32" i="58"/>
  <c r="N32" i="58" s="1"/>
  <c r="M33" i="58"/>
  <c r="N33" i="58" s="1"/>
  <c r="L36" i="57"/>
  <c r="L64" i="57" s="1"/>
  <c r="L26" i="19"/>
  <c r="J64" i="58"/>
  <c r="J13" i="52"/>
  <c r="J9" i="52" s="1"/>
  <c r="J57" i="52" s="1"/>
  <c r="AC14" i="7"/>
  <c r="AD17" i="7"/>
  <c r="L14" i="52" s="1"/>
  <c r="K14" i="52"/>
  <c r="H66" i="52" l="1"/>
  <c r="K32" i="19" s="1"/>
  <c r="K29" i="19"/>
  <c r="K30" i="19" s="1"/>
  <c r="H8" i="26"/>
  <c r="M61" i="58"/>
  <c r="N61" i="58" s="1"/>
  <c r="N61" i="57"/>
  <c r="L64" i="58"/>
  <c r="M60" i="58"/>
  <c r="N60" i="58" s="1"/>
  <c r="K9" i="19"/>
  <c r="H9" i="26"/>
  <c r="K13" i="52"/>
  <c r="K9" i="52" s="1"/>
  <c r="K57" i="52" s="1"/>
  <c r="AD14" i="7"/>
  <c r="L13" i="52" s="1"/>
  <c r="L9" i="52" s="1"/>
  <c r="L57" i="52" s="1"/>
  <c r="N64" i="57"/>
  <c r="H61" i="52" l="1"/>
  <c r="K33" i="19" s="1"/>
  <c r="K31" i="19"/>
  <c r="M36" i="58"/>
  <c r="M64" i="58" s="1"/>
  <c r="H59" i="52"/>
  <c r="H11" i="26"/>
  <c r="I59" i="26" s="1"/>
  <c r="K40" i="19"/>
  <c r="K39" i="19"/>
  <c r="K10" i="19"/>
  <c r="O26" i="19" l="1"/>
  <c r="K11" i="19"/>
  <c r="K12" i="19"/>
  <c r="K17" i="19" s="1"/>
  <c r="K36" i="19"/>
  <c r="BF19" i="57"/>
  <c r="N64" i="58"/>
  <c r="K45" i="19" l="1"/>
  <c r="BF13" i="57"/>
  <c r="BF65" i="57" s="1"/>
  <c r="BF19" i="58"/>
  <c r="BF18" i="58"/>
  <c r="BF13" i="58" s="1"/>
  <c r="BF65" i="58" s="1"/>
  <c r="J19" i="57"/>
  <c r="K46" i="19"/>
  <c r="K43" i="19"/>
  <c r="K44" i="19"/>
  <c r="J19" i="58" l="1"/>
  <c r="J18" i="58"/>
  <c r="J13" i="57"/>
  <c r="J65" i="57" s="1"/>
  <c r="BF67" i="58"/>
  <c r="BF68" i="58"/>
  <c r="BF67" i="57"/>
  <c r="BF68" i="57"/>
  <c r="J67" i="57" l="1"/>
  <c r="J68" i="57"/>
  <c r="J13" i="58"/>
  <c r="J65" i="58" s="1"/>
  <c r="L19" i="19"/>
  <c r="L20" i="19"/>
  <c r="L23" i="19" s="1"/>
  <c r="L25" i="19" l="1"/>
  <c r="L41" i="19"/>
  <c r="J67" i="58"/>
  <c r="J68" i="58"/>
  <c r="J71" i="58" l="1"/>
  <c r="L42" i="19"/>
  <c r="I8" i="26" l="1"/>
  <c r="J73" i="58"/>
  <c r="J76" i="58" s="1"/>
  <c r="K78" i="58" s="1"/>
  <c r="L29" i="19"/>
  <c r="I66" i="52"/>
  <c r="I61" i="52" l="1"/>
  <c r="L33" i="19" s="1"/>
  <c r="L32" i="19"/>
  <c r="L30" i="19"/>
  <c r="L31" i="19"/>
  <c r="I9" i="26"/>
  <c r="L9" i="19"/>
  <c r="L10" i="19" l="1"/>
  <c r="L39" i="19"/>
  <c r="L40" i="19"/>
  <c r="I11" i="26"/>
  <c r="J59" i="26" s="1"/>
  <c r="I59" i="52"/>
  <c r="L36" i="19" l="1"/>
  <c r="BG19" i="57"/>
  <c r="L11" i="19"/>
  <c r="L12" i="19"/>
  <c r="L17" i="19" s="1"/>
  <c r="L45" i="19" l="1"/>
  <c r="L43" i="19"/>
  <c r="L44" i="19"/>
  <c r="BG13" i="57"/>
  <c r="BG65" i="57" s="1"/>
  <c r="BG18" i="58"/>
  <c r="BG13" i="58" s="1"/>
  <c r="BG65" i="58" s="1"/>
  <c r="BG19" i="58"/>
  <c r="K19" i="57"/>
  <c r="L46" i="19"/>
  <c r="BG67" i="58" l="1"/>
  <c r="BG68" i="58"/>
  <c r="K18" i="58"/>
  <c r="K19" i="58"/>
  <c r="K13" i="57"/>
  <c r="K65" i="57" s="1"/>
  <c r="BG67" i="57"/>
  <c r="BG68" i="57"/>
  <c r="M20" i="19" l="1"/>
  <c r="M23" i="19" s="1"/>
  <c r="K67" i="57"/>
  <c r="K68" i="57"/>
  <c r="K13" i="58"/>
  <c r="K65" i="58" s="1"/>
  <c r="M19" i="19"/>
  <c r="K68" i="58" l="1"/>
  <c r="K67" i="58"/>
  <c r="M25" i="19"/>
  <c r="M41" i="19"/>
  <c r="K71" i="58" l="1"/>
  <c r="M29" i="19" s="1"/>
  <c r="M42" i="19"/>
  <c r="J8" i="26" l="1"/>
  <c r="J9" i="26" s="1"/>
  <c r="J66" i="52"/>
  <c r="K73" i="58"/>
  <c r="K76" i="58" s="1"/>
  <c r="L78" i="58" s="1"/>
  <c r="M30" i="19"/>
  <c r="M31" i="19"/>
  <c r="M32" i="19"/>
  <c r="J61" i="52"/>
  <c r="M33" i="19" s="1"/>
  <c r="M9" i="19" l="1"/>
  <c r="M10" i="19" s="1"/>
  <c r="J11" i="26"/>
  <c r="K59" i="26" s="1"/>
  <c r="J59" i="52"/>
  <c r="M39" i="19" l="1"/>
  <c r="M40" i="19"/>
  <c r="M36" i="19"/>
  <c r="M11" i="19"/>
  <c r="M12" i="19"/>
  <c r="M17" i="19" s="1"/>
  <c r="BH19" i="57"/>
  <c r="M45" i="19" l="1"/>
  <c r="L19" i="57"/>
  <c r="BH18" i="58"/>
  <c r="BH13" i="58" s="1"/>
  <c r="BH65" i="58" s="1"/>
  <c r="BH13" i="57"/>
  <c r="BH65" i="57" s="1"/>
  <c r="BH19" i="58"/>
  <c r="M43" i="19"/>
  <c r="M44" i="19"/>
  <c r="M46" i="19"/>
  <c r="BH68" i="57" l="1"/>
  <c r="BH67" i="57"/>
  <c r="BH67" i="58"/>
  <c r="BH68" i="58"/>
  <c r="L18" i="58"/>
  <c r="L13" i="57"/>
  <c r="L65" i="57" s="1"/>
  <c r="L19" i="58"/>
  <c r="N20" i="19" l="1"/>
  <c r="N23" i="19" s="1"/>
  <c r="L67" i="57"/>
  <c r="L68" i="57"/>
  <c r="L13" i="58"/>
  <c r="L65" i="58" s="1"/>
  <c r="N19" i="19"/>
  <c r="L68" i="58" l="1"/>
  <c r="L67" i="58"/>
  <c r="N25" i="19"/>
  <c r="N41" i="19"/>
  <c r="L71" i="58" l="1"/>
  <c r="N29" i="19" s="1"/>
  <c r="N42" i="19"/>
  <c r="K66" i="52" l="1"/>
  <c r="L73" i="58"/>
  <c r="L76" i="58" s="1"/>
  <c r="M78" i="58" s="1"/>
  <c r="K8" i="26"/>
  <c r="K9" i="26" s="1"/>
  <c r="K61" i="52"/>
  <c r="N33" i="19" s="1"/>
  <c r="N32" i="19"/>
  <c r="N30" i="19"/>
  <c r="N31" i="19"/>
  <c r="N9" i="19" l="1"/>
  <c r="N40" i="19"/>
  <c r="N10" i="19"/>
  <c r="N39" i="19"/>
  <c r="K11" i="26"/>
  <c r="L59" i="26" s="1"/>
  <c r="K59" i="52"/>
  <c r="N36" i="19" l="1"/>
  <c r="BI19" i="57"/>
  <c r="N11" i="19"/>
  <c r="N12" i="19"/>
  <c r="N17" i="19" s="1"/>
  <c r="N45" i="19" l="1"/>
  <c r="BI19" i="58"/>
  <c r="BI13" i="57"/>
  <c r="BI65" i="57" s="1"/>
  <c r="BI18" i="58"/>
  <c r="BI13" i="58" s="1"/>
  <c r="BI65" i="58" s="1"/>
  <c r="M19" i="57"/>
  <c r="N43" i="19"/>
  <c r="N44" i="19"/>
  <c r="N46" i="19"/>
  <c r="M19" i="58" l="1"/>
  <c r="M13" i="57"/>
  <c r="M65" i="57" s="1"/>
  <c r="M18" i="58"/>
  <c r="BI68" i="57"/>
  <c r="BI67" i="57"/>
  <c r="BI68" i="58"/>
  <c r="BI67" i="58"/>
  <c r="O19" i="19" l="1"/>
  <c r="M13" i="58"/>
  <c r="M65" i="58" s="1"/>
  <c r="N18" i="58"/>
  <c r="M68" i="57"/>
  <c r="M67" i="57"/>
  <c r="N65" i="57"/>
  <c r="O20" i="19"/>
  <c r="O23" i="19" s="1"/>
  <c r="N19" i="58"/>
  <c r="O25" i="19" l="1"/>
  <c r="O41" i="19"/>
  <c r="P41" i="19"/>
  <c r="M67" i="58"/>
  <c r="M68" i="58"/>
  <c r="N65" i="58"/>
  <c r="M71" i="58" l="1"/>
  <c r="L8" i="26" s="1"/>
  <c r="H104" i="19"/>
  <c r="K104" i="19"/>
  <c r="L104" i="19"/>
  <c r="M104" i="19"/>
  <c r="N104" i="19"/>
  <c r="J104" i="19"/>
  <c r="O104" i="19"/>
  <c r="I104" i="19"/>
  <c r="O42" i="19"/>
  <c r="P42" i="19"/>
  <c r="L66" i="52" l="1"/>
  <c r="L61" i="52" s="1"/>
  <c r="O33" i="19" s="1"/>
  <c r="M73" i="58"/>
  <c r="M76" i="58" s="1"/>
  <c r="O29" i="19"/>
  <c r="O30" i="19" s="1"/>
  <c r="J105" i="19"/>
  <c r="L105" i="19"/>
  <c r="H105" i="19"/>
  <c r="K105" i="19"/>
  <c r="M105" i="19"/>
  <c r="O105" i="19"/>
  <c r="I105" i="19"/>
  <c r="N105" i="19"/>
  <c r="O9" i="19"/>
  <c r="L9" i="26"/>
  <c r="O31" i="19" l="1"/>
  <c r="O32" i="19"/>
  <c r="L11" i="26"/>
  <c r="L59" i="52"/>
  <c r="O36" i="19" s="1"/>
  <c r="O39" i="19"/>
  <c r="O40" i="19"/>
  <c r="O10" i="19"/>
  <c r="P40" i="19"/>
  <c r="P39" i="19"/>
  <c r="I103" i="19" l="1"/>
  <c r="J103" i="19"/>
  <c r="K103" i="19"/>
  <c r="M103" i="19"/>
  <c r="L103" i="19"/>
  <c r="N103" i="19"/>
  <c r="O103" i="19"/>
  <c r="H103" i="19"/>
  <c r="O11" i="19"/>
  <c r="O12" i="19"/>
  <c r="O17" i="19" s="1"/>
  <c r="O102" i="19"/>
  <c r="K102" i="19"/>
  <c r="N102" i="19"/>
  <c r="L102" i="19"/>
  <c r="H102" i="19"/>
  <c r="I102" i="19"/>
  <c r="J102" i="19"/>
  <c r="M102" i="19"/>
  <c r="O46" i="19"/>
  <c r="P46" i="19"/>
  <c r="O45" i="19" l="1"/>
  <c r="P45" i="19"/>
  <c r="O109" i="19"/>
  <c r="L109" i="19"/>
  <c r="N109" i="19"/>
  <c r="M109" i="19"/>
  <c r="J109" i="19"/>
  <c r="H109" i="19"/>
  <c r="I109" i="19"/>
  <c r="K109" i="19"/>
  <c r="O43" i="19"/>
  <c r="O44" i="19"/>
  <c r="P44" i="19"/>
  <c r="P43" i="19"/>
  <c r="L108" i="19" l="1"/>
  <c r="J108" i="19"/>
  <c r="K108" i="19"/>
  <c r="M108" i="19"/>
  <c r="H108" i="19"/>
  <c r="O108" i="19"/>
  <c r="N108" i="19"/>
  <c r="I108" i="19"/>
  <c r="N106" i="19"/>
  <c r="O106" i="19"/>
  <c r="M106" i="19"/>
  <c r="I106" i="19"/>
  <c r="K106" i="19"/>
  <c r="H106" i="19"/>
  <c r="J106" i="19"/>
  <c r="L106" i="19"/>
  <c r="G39" i="19"/>
  <c r="G40" i="19"/>
  <c r="L107" i="19"/>
  <c r="K107" i="19"/>
  <c r="O107" i="19"/>
  <c r="N107" i="19"/>
  <c r="M107" i="19"/>
  <c r="H107" i="19"/>
  <c r="I107" i="19"/>
  <c r="J107" i="19"/>
  <c r="J91" i="19" l="1"/>
  <c r="O91" i="19"/>
  <c r="I91" i="19"/>
  <c r="M91" i="19"/>
  <c r="H91" i="19"/>
  <c r="L91" i="19"/>
  <c r="K91" i="19"/>
  <c r="N91" i="19"/>
  <c r="I90" i="19"/>
  <c r="O90" i="19"/>
  <c r="L90" i="19"/>
  <c r="N90" i="19"/>
  <c r="H90" i="19"/>
  <c r="M90" i="19"/>
  <c r="J90" i="19"/>
  <c r="K90" i="19"/>
  <c r="F14" i="56"/>
  <c r="F13" i="56" s="1"/>
  <c r="N68" i="57" s="1"/>
  <c r="J15" i="56"/>
  <c r="K15" i="56"/>
  <c r="J13" i="5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</authors>
  <commentList>
    <comment ref="I23" authorId="0" shapeId="0" xr:uid="{C7A411F5-FCDD-9A4B-94D2-3420EA081ECB}">
      <text>
        <r>
          <rPr>
            <sz val="10"/>
            <color rgb="FF000000"/>
            <rFont val="Tahoma"/>
            <family val="2"/>
          </rPr>
          <t xml:space="preserve"> Fehlermeldung
</t>
        </r>
      </text>
    </comment>
    <comment ref="I24" authorId="0" shapeId="0" xr:uid="{14AFA251-00DD-2F4A-8281-E80F076B3738}">
      <text>
        <r>
          <rPr>
            <sz val="10"/>
            <color rgb="FF000000"/>
            <rFont val="Tahoma"/>
            <family val="2"/>
          </rPr>
          <t xml:space="preserve"> Fehlermeldung
</t>
        </r>
      </text>
    </comment>
    <comment ref="I25" authorId="0" shapeId="0" xr:uid="{945793B6-39C7-2245-AF02-28BCBDE0F59A}">
      <text>
        <r>
          <rPr>
            <sz val="10"/>
            <color rgb="FF000000"/>
            <rFont val="Tahoma"/>
            <family val="2"/>
          </rPr>
          <t xml:space="preserve"> Fehlermeldung
</t>
        </r>
      </text>
    </comment>
    <comment ref="I26" authorId="0" shapeId="0" xr:uid="{341BA11D-8D09-CB47-812B-F0E4FDA86B9F}">
      <text>
        <r>
          <rPr>
            <sz val="10"/>
            <color rgb="FF000000"/>
            <rFont val="Tahoma"/>
            <family val="2"/>
          </rPr>
          <t xml:space="preserve"> Fehlermeldung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</authors>
  <commentList>
    <comment ref="F8" authorId="0" shapeId="0" xr:uid="{AB7F5BBC-8AE1-DB4A-91B0-66225232307B}">
      <text>
        <r>
          <rPr>
            <sz val="10"/>
            <color rgb="FF000000"/>
            <rFont val="Arial"/>
            <family val="2"/>
          </rPr>
          <t>Vereinfachte Berechnung ohne 364, 365, 387, 485, 389, 3811, 3841, 4490, 4695)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F14" authorId="0" shapeId="0" xr:uid="{3868693F-451B-1441-9648-71F28383FEAC}">
      <text>
        <r>
          <rPr>
            <sz val="8"/>
            <color rgb="FF000000"/>
            <rFont val="Arial"/>
            <family val="34"/>
          </rPr>
          <t xml:space="preserve">Annahme: Wiederaufnahme der Kredite zum Zinssatz für Neukredite
</t>
        </r>
      </text>
    </comment>
    <comment ref="O15" authorId="0" shapeId="0" xr:uid="{8411CA48-D61C-004C-8CB8-5FB6B8FB5209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16" authorId="0" shapeId="0" xr:uid="{BE5E08BC-F63E-BF47-A39F-8D1270992522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17" authorId="0" shapeId="0" xr:uid="{3A103119-D60B-4747-9843-E8A3013619FB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18" authorId="0" shapeId="0" xr:uid="{28D7D0EA-B5AA-264B-A0AC-B52A3A4A6C6D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19" authorId="0" shapeId="0" xr:uid="{3DB23166-93D0-6447-8B1E-776930FC4BC1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20" authorId="0" shapeId="0" xr:uid="{68DD2D7D-E7D0-844F-BD27-33A0AB55C739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21" authorId="0" shapeId="0" xr:uid="{A5197111-0842-1246-853D-D0BA4EC6EB4F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22" authorId="0" shapeId="0" xr:uid="{364959B8-7826-6F4A-AA15-5B7AC80B9023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23" authorId="0" shapeId="0" xr:uid="{249EDC66-88E5-5547-A646-ECA5321FE2BF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24" authorId="0" shapeId="0" xr:uid="{AB088441-FF95-7540-9837-CD35A718EB0B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25" authorId="0" shapeId="0" xr:uid="{5AB146F5-5485-9441-BF9D-D46E0244CCF6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26" authorId="0" shapeId="0" xr:uid="{6B103279-6659-3448-B468-3FF3DC6EE025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27" authorId="0" shapeId="0" xr:uid="{FDA0F444-8DDE-A54E-B796-274F2E168E4C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28" authorId="0" shapeId="0" xr:uid="{F3DEE4C4-5E64-DC45-88A1-6A774EE667BE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29" authorId="0" shapeId="0" xr:uid="{9CBAB431-1F2C-9D4D-9E2F-C59CAC993B69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30" authorId="0" shapeId="0" xr:uid="{9962C427-A110-4D43-9060-5EB31017EEE0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31" authorId="0" shapeId="0" xr:uid="{2AF0B7EB-01EB-B44C-9408-C390F2ACEDC1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F33" authorId="0" shapeId="0" xr:uid="{AB9FCF7A-DD6C-F348-8F77-1176F2B6763F}">
      <text>
        <r>
          <rPr>
            <sz val="8"/>
            <color rgb="FF000000"/>
            <rFont val="Arial"/>
            <family val="34"/>
          </rPr>
          <t xml:space="preserve">Annahme: Entlastung bei Zinsaufwand im Umfang Zinssatz für Neukredite
</t>
        </r>
      </text>
    </comment>
    <comment ref="K42" authorId="0" shapeId="0" xr:uid="{1E26055B-FFFE-334A-B12E-6CF7A255FAF7}">
      <text>
        <r>
          <rPr>
            <sz val="8"/>
            <color rgb="FF000000"/>
            <rFont val="Arial"/>
            <family val="34"/>
          </rPr>
          <t xml:space="preserve">Annahme: Definanzierung möglich, Entlastung zum Zinssatz Neukredite
</t>
        </r>
      </text>
    </comment>
    <comment ref="O43" authorId="0" shapeId="0" xr:uid="{FC0A1492-F10B-5247-A30B-A84F6BCEF800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44" authorId="0" shapeId="0" xr:uid="{CD495AE5-FCAE-4547-B6B8-71B31C797BAB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45" authorId="0" shapeId="0" xr:uid="{87E17F53-A935-7348-9717-7D9288AF5521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46" authorId="0" shapeId="0" xr:uid="{CBB26DE9-CB81-7D46-BC95-AE78791B1022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47" authorId="0" shapeId="0" xr:uid="{895A6F60-F47D-874B-AC72-7060FA31284C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F49" authorId="0" shapeId="0" xr:uid="{0710C996-4284-4E41-BC44-6FDD7174D911}">
      <text>
        <r>
          <rPr>
            <sz val="8"/>
            <color rgb="FF000000"/>
            <rFont val="Arial"/>
            <family val="34"/>
          </rPr>
          <t xml:space="preserve">Annahme: Finanzierungsbedarf zum Zinssatz für Neukredite
</t>
        </r>
      </text>
    </comment>
    <comment ref="O50" authorId="0" shapeId="0" xr:uid="{0C812780-9B17-AA47-8566-B02ED8C4DC1B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51" authorId="0" shapeId="0" xr:uid="{68089A4F-D686-E341-86EA-00EEFF474F34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52" authorId="0" shapeId="0" xr:uid="{F4C250AB-FFE8-AD4A-BCBA-5E039BF44B18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53" authorId="0" shapeId="0" xr:uid="{53B3FCBE-4D76-9749-B0ED-063B7D6BCCA1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O54" authorId="0" shapeId="0" xr:uid="{6852EF70-F4F2-BD4B-A82D-8159DA728E17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  <author>Microsoft Office-Anwender</author>
  </authors>
  <commentList>
    <comment ref="N15" authorId="0" shapeId="0" xr:uid="{00000000-0006-0000-0B00-000001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16" authorId="0" shapeId="0" xr:uid="{00000000-0006-0000-0B00-000002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17" authorId="0" shapeId="0" xr:uid="{00000000-0006-0000-0B00-00000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18" authorId="0" shapeId="0" xr:uid="{00000000-0006-0000-0B00-000004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20" authorId="0" shapeId="0" xr:uid="{00000000-0006-0000-0B00-00000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21" authorId="0" shapeId="0" xr:uid="{00000000-0006-0000-0B00-00000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I22" authorId="1" shapeId="0" xr:uid="{27CE808A-4D8B-6A49-9FAE-FE81ECA11A55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2" authorId="0" shapeId="0" xr:uid="{00000000-0006-0000-0B00-000007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22" authorId="1" shapeId="0" xr:uid="{006650F0-29DA-354F-A18A-8AA64DFC8D2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22" authorId="1" shapeId="0" xr:uid="{07082600-3CCE-5148-B4C1-E26700523FAA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22" authorId="1" shapeId="0" xr:uid="{A9A88CC1-B38C-DD46-9BCD-EFBB8745E3AF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22" authorId="1" shapeId="0" xr:uid="{9C4A6533-2CB6-8044-8AE5-F492F3BF20CC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22" authorId="1" shapeId="0" xr:uid="{737BF15A-E133-2C46-B457-BA5576232BF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22" authorId="1" shapeId="0" xr:uid="{1832715B-EE71-2948-BD56-5B279BD25816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23" authorId="1" shapeId="0" xr:uid="{56DC2DCA-8123-594E-A225-0B2AD245CAB6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3" authorId="0" shapeId="0" xr:uid="{00000000-0006-0000-0B00-000008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23" authorId="1" shapeId="0" xr:uid="{E5AB1AE9-0E9D-DC4C-89FF-90F667E455EB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23" authorId="1" shapeId="0" xr:uid="{ED2DEB14-2786-B54C-8F30-2379F2C48E6A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23" authorId="1" shapeId="0" xr:uid="{E98EE0E5-EE12-9942-A44F-ED5E57DC4A05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23" authorId="1" shapeId="0" xr:uid="{1CE957DE-BDB3-6C49-8E48-3991C22963F8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23" authorId="1" shapeId="0" xr:uid="{403F8DF0-A561-7346-A935-173855D85B93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23" authorId="1" shapeId="0" xr:uid="{264EA1E0-774D-4140-B229-6F35A0009627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24" authorId="1" shapeId="0" xr:uid="{88606855-09B0-5C4A-977A-0A97D1F7C6E7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4" authorId="0" shapeId="0" xr:uid="{00000000-0006-0000-0B00-000009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24" authorId="1" shapeId="0" xr:uid="{4C54796E-0BC9-9140-933D-D7210FACC3CB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24" authorId="1" shapeId="0" xr:uid="{53689D7A-4976-A244-80A6-22F88A7FFF7C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24" authorId="1" shapeId="0" xr:uid="{232FE8BC-DA2E-E94E-B70F-9BD71052614E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24" authorId="1" shapeId="0" xr:uid="{224B435E-3C2A-DA4B-8D73-683E9A403675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24" authorId="1" shapeId="0" xr:uid="{BE395765-DBC6-E941-A13D-0B72AA4BA6E1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24" authorId="1" shapeId="0" xr:uid="{5376F146-81EC-8947-9ADE-F76FBB541A1F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25" authorId="1" shapeId="0" xr:uid="{FBF41DA1-C2D4-BF4B-A90D-DB27B0FE4998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5" authorId="0" shapeId="0" xr:uid="{00000000-0006-0000-0B00-00000A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Q25" authorId="1" shapeId="0" xr:uid="{C169234C-0085-AF4A-88C4-DF3FD7E8A90F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25" authorId="1" shapeId="0" xr:uid="{77B6C762-C298-1E43-AD35-6C84B78FCBC6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25" authorId="1" shapeId="0" xr:uid="{98F43CA3-4EF5-8446-90B9-C4CBF78BA44B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25" authorId="1" shapeId="0" xr:uid="{04220BC3-1F0B-AD4E-847A-F2B4556EEFE7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25" authorId="1" shapeId="0" xr:uid="{A0289CBD-375E-AE4D-BC4B-AA7359A1CB13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25" authorId="1" shapeId="0" xr:uid="{D67295C1-71E7-C447-8548-10D621D88EDE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26" authorId="1" shapeId="0" xr:uid="{C3586571-4917-824A-80C2-ABA40E6CBC1E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6" authorId="0" shapeId="0" xr:uid="{00000000-0006-0000-0B00-00000B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26" authorId="1" shapeId="0" xr:uid="{5FC36549-582B-3C40-A796-72CAA21E2B82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26" authorId="1" shapeId="0" xr:uid="{58332570-3E7D-264D-B4F8-AE084AB82C1E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26" authorId="1" shapeId="0" xr:uid="{3C5A3048-15D6-804F-94DC-9907C0D05BF6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26" authorId="1" shapeId="0" xr:uid="{F7FC193D-0F9A-0B45-8840-C44A34A0BEA4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26" authorId="1" shapeId="0" xr:uid="{B11993B8-4A03-7340-AAD2-CB46A98E9E67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26" authorId="1" shapeId="0" xr:uid="{C434E803-B1C7-A246-9085-CDE616DE072D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7" authorId="0" shapeId="0" xr:uid="{00000000-0006-0000-0B00-00000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28" authorId="0" shapeId="0" xr:uid="{00000000-0006-0000-0B00-00000D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29" authorId="0" shapeId="0" xr:uid="{35273E46-BBC6-0047-86A9-15BACFCF89C5}">
      <text>
        <r>
          <rPr>
            <sz val="9"/>
            <color indexed="81"/>
            <rFont val="Arial"/>
            <family val="2"/>
          </rPr>
          <t>Fehlermeldung</t>
        </r>
      </text>
    </comment>
    <comment ref="N30" authorId="0" shapeId="0" xr:uid="{00000000-0006-0000-0B00-00000E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1" authorId="0" shapeId="0" xr:uid="{00000000-0006-0000-0B00-00000F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2" authorId="0" shapeId="0" xr:uid="{00000000-0006-0000-0B00-000010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3" authorId="0" shapeId="0" xr:uid="{00000000-0006-0000-0B00-000011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8" authorId="0" shapeId="0" xr:uid="{00000000-0006-0000-0B00-000012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9" authorId="0" shapeId="0" xr:uid="{00000000-0006-0000-0B00-000013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0" authorId="0" shapeId="0" xr:uid="{00000000-0006-0000-0B00-000014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1" authorId="0" shapeId="0" xr:uid="{00000000-0006-0000-0B00-00001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2" authorId="0" shapeId="0" xr:uid="{00000000-0006-0000-0B00-000016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3" authorId="0" shapeId="0" xr:uid="{00000000-0006-0000-0B00-00001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4" authorId="0" shapeId="0" xr:uid="{00000000-0006-0000-0B00-00001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5" authorId="0" shapeId="0" xr:uid="{00000000-0006-0000-0B00-000019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6" authorId="0" shapeId="0" xr:uid="{00000000-0006-0000-0B00-00001A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8" authorId="0" shapeId="0" xr:uid="{00000000-0006-0000-0B00-00001B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9" authorId="0" shapeId="0" xr:uid="{00000000-0006-0000-0B00-00001C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I50" authorId="1" shapeId="0" xr:uid="{CA255B69-14B4-CA4B-AC46-2C386A633C5B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0" authorId="0" shapeId="0" xr:uid="{00000000-0006-0000-0B00-00001D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Q50" authorId="1" shapeId="0" xr:uid="{9D5ECF67-D3C2-CB4F-B75C-FA4826CD5945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50" authorId="1" shapeId="0" xr:uid="{55765999-EF68-C941-9B88-7B0143675D66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50" authorId="1" shapeId="0" xr:uid="{04742CEB-0D5E-C74B-99B6-F2B9D25614FE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50" authorId="1" shapeId="0" xr:uid="{8355C65D-8AD8-414C-87E1-BA2B654387B9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50" authorId="1" shapeId="0" xr:uid="{0C144212-30D9-A54A-9366-F14C53DC372E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50" authorId="1" shapeId="0" xr:uid="{7EC07BBD-C9EE-F843-8F46-FD730EADDAF8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51" authorId="1" shapeId="0" xr:uid="{1DD78D9F-FF98-414B-96F4-6AB082476EA9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1" authorId="0" shapeId="0" xr:uid="{00000000-0006-0000-0B00-00001E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51" authorId="1" shapeId="0" xr:uid="{439FFBE5-E2A7-4344-9EB7-1766BA0A1049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51" authorId="1" shapeId="0" xr:uid="{1BAC893D-A6A1-EB44-B7C6-7701FDD98E1B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51" authorId="1" shapeId="0" xr:uid="{1FA2A7BF-C74B-E243-ADB2-95C7924998B9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51" authorId="1" shapeId="0" xr:uid="{FDC4D25A-E28C-FE42-9F66-071BE4D3DC9E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51" authorId="1" shapeId="0" xr:uid="{86F2B69E-3B7C-7248-9A4D-46396D3A0962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51" authorId="1" shapeId="0" xr:uid="{A504A500-C191-384D-AA03-4F5BE963FE17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52" authorId="1" shapeId="0" xr:uid="{7F12FAC4-C0BB-5E48-A444-045AAAB45776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2" authorId="0" shapeId="0" xr:uid="{00000000-0006-0000-0B00-00001F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52" authorId="1" shapeId="0" xr:uid="{D25BAE56-D7F5-7E42-B69F-D0AB30E9633C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52" authorId="1" shapeId="0" xr:uid="{231CC632-E92A-124C-89BE-74FED46DFF2E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52" authorId="1" shapeId="0" xr:uid="{411AC0A8-920A-3544-B853-31CD8E654B64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52" authorId="1" shapeId="0" xr:uid="{961183EA-EB56-7142-94DF-D1C21522813B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52" authorId="1" shapeId="0" xr:uid="{E7078AAA-58DC-BE46-BD6D-5E50914E4D71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52" authorId="1" shapeId="0" xr:uid="{F6F0390D-7C7A-3C49-898B-DA6970FF854C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53" authorId="1" shapeId="0" xr:uid="{8D3C89DF-760A-4340-A6D3-86512673D50D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3" authorId="0" shapeId="0" xr:uid="{00000000-0006-0000-0B00-000020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53" authorId="1" shapeId="0" xr:uid="{B524729D-0E28-4C47-A02A-5E82B80BCA8E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53" authorId="1" shapeId="0" xr:uid="{F6075866-63B0-3649-A5DE-B163504CFBA9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53" authorId="1" shapeId="0" xr:uid="{C87A933E-5C3E-464F-933B-82D712822717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53" authorId="1" shapeId="0" xr:uid="{5599474B-A36F-ED4C-B2B7-2103426E7C54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53" authorId="1" shapeId="0" xr:uid="{82452B62-1B17-484F-9A43-865FAEC987D9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53" authorId="1" shapeId="0" xr:uid="{49009F17-0C69-DD4A-BBBA-DAB26E030861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54" authorId="1" shapeId="0" xr:uid="{3D6A938E-1258-154E-B81D-61E8B571D5B4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4" authorId="0" shapeId="0" xr:uid="{00000000-0006-0000-0B00-000021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54" authorId="1" shapeId="0" xr:uid="{B7144C4B-A6DE-8E4E-B770-E206CB5E316A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54" authorId="1" shapeId="0" xr:uid="{B7AACDEF-EBE5-134B-926E-BC63257ADA07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54" authorId="1" shapeId="0" xr:uid="{BA57FE7D-CD97-394F-84A3-598A9C3DB8A9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54" authorId="1" shapeId="0" xr:uid="{81CFE4D8-BE83-D94B-B67C-524CF36D3708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54" authorId="1" shapeId="0" xr:uid="{0F5FC3C2-92C3-5741-A1DD-6BCD2987594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54" authorId="1" shapeId="0" xr:uid="{7A4AB55E-4332-E441-9595-1D81CB86B1F8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5" authorId="0" shapeId="0" xr:uid="{00000000-0006-0000-0B00-000022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6" authorId="0" shapeId="0" xr:uid="{00000000-0006-0000-0B00-00002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57" authorId="0" shapeId="0" xr:uid="{00000000-0006-0000-0B00-000024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8" authorId="0" shapeId="0" xr:uid="{00000000-0006-0000-0B00-00002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9" authorId="0" shapeId="0" xr:uid="{00000000-0006-0000-0B00-000026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60" authorId="0" shapeId="0" xr:uid="{00000000-0006-0000-0B00-00002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61" authorId="0" shapeId="0" xr:uid="{00000000-0006-0000-0B00-000028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64" authorId="0" shapeId="0" xr:uid="{00000000-0006-0000-0B00-000029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65" authorId="0" shapeId="0" xr:uid="{00000000-0006-0000-0B00-00002A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68" authorId="0" shapeId="0" xr:uid="{00000000-0006-0000-0B00-00002B000000}">
      <text>
        <r>
          <rPr>
            <sz val="9"/>
            <color indexed="81"/>
            <rFont val="Arial"/>
            <family val="2"/>
          </rPr>
          <t>Fehlermeldung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</authors>
  <commentList>
    <comment ref="I7" authorId="0" shapeId="0" xr:uid="{4FCBE38A-E594-7247-A69B-76DD70E6D83E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J7" authorId="0" shapeId="0" xr:uid="{570C20D6-48CA-CB41-8A53-FE0C6FAB11B5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I8" authorId="0" shapeId="0" xr:uid="{9B139D60-589B-414A-A6E4-D9ED523F6920}">
      <text>
        <r>
          <rPr>
            <b/>
            <sz val="8"/>
            <color rgb="FF000000"/>
            <rFont val="Arial"/>
            <family val="34"/>
          </rPr>
          <t>Fehlermeldung</t>
        </r>
        <r>
          <rPr>
            <sz val="8"/>
            <color rgb="FF000000"/>
            <rFont val="Arial"/>
            <family val="34"/>
          </rPr>
          <t xml:space="preserve">
</t>
        </r>
      </text>
    </comment>
    <comment ref="N15" authorId="0" shapeId="0" xr:uid="{00000000-0006-0000-0C00-000001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16" authorId="0" shapeId="0" xr:uid="{00000000-0006-0000-0C00-000002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17" authorId="0" shapeId="0" xr:uid="{00000000-0006-0000-0C00-00000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18" authorId="0" shapeId="0" xr:uid="{00000000-0006-0000-0C00-000004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19" authorId="0" shapeId="0" xr:uid="{FCD060AA-5BCA-C043-A1E7-6AAA7F21BF83}">
      <text>
        <r>
          <rPr>
            <sz val="9"/>
            <color indexed="81"/>
            <rFont val="Arial"/>
            <family val="2"/>
          </rPr>
          <t>Fehlermeldung</t>
        </r>
      </text>
    </comment>
    <comment ref="N20" authorId="0" shapeId="0" xr:uid="{00000000-0006-0000-0C00-00000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21" authorId="0" shapeId="0" xr:uid="{00000000-0006-0000-0C00-000006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22" authorId="0" shapeId="0" xr:uid="{00000000-0006-0000-0C00-000007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23" authorId="0" shapeId="0" xr:uid="{00000000-0006-0000-0C00-000008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24" authorId="0" shapeId="0" xr:uid="{00000000-0006-0000-0C00-000009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25" authorId="0" shapeId="0" xr:uid="{00000000-0006-0000-0C00-00000A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26" authorId="0" shapeId="0" xr:uid="{00000000-0006-0000-0C00-00000B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27" authorId="0" shapeId="0" xr:uid="{00000000-0006-0000-0C00-00000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28" authorId="0" shapeId="0" xr:uid="{00000000-0006-0000-0C00-00000D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29" authorId="0" shapeId="0" xr:uid="{482AD80A-55A8-E14B-B091-0BA22444D60E}">
      <text>
        <r>
          <rPr>
            <sz val="9"/>
            <color rgb="FF000000"/>
            <rFont val="Arial"/>
            <family val="2"/>
          </rPr>
          <t>Fehlermeldung</t>
        </r>
      </text>
    </comment>
    <comment ref="N30" authorId="0" shapeId="0" xr:uid="{00000000-0006-0000-0C00-00000E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1" authorId="0" shapeId="0" xr:uid="{00000000-0006-0000-0C00-00000F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2" authorId="0" shapeId="0" xr:uid="{00000000-0006-0000-0C00-000010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3" authorId="0" shapeId="0" xr:uid="{00000000-0006-0000-0C00-000011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8" authorId="0" shapeId="0" xr:uid="{00000000-0006-0000-0C00-00001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39" authorId="0" shapeId="0" xr:uid="{00000000-0006-0000-0C00-00001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0" authorId="0" shapeId="0" xr:uid="{00000000-0006-0000-0C00-000014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1" authorId="0" shapeId="0" xr:uid="{00000000-0006-0000-0C00-000015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2" authorId="0" shapeId="0" xr:uid="{00000000-0006-0000-0C00-000016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3" authorId="0" shapeId="0" xr:uid="{00000000-0006-0000-0C00-00001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4" authorId="0" shapeId="0" xr:uid="{00000000-0006-0000-0C00-00001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5" authorId="0" shapeId="0" xr:uid="{00000000-0006-0000-0C00-000019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6" authorId="0" shapeId="0" xr:uid="{00000000-0006-0000-0C00-00001A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7" authorId="0" shapeId="0" xr:uid="{25367ADF-5F2A-5647-924C-782CA84BC82D}">
      <text>
        <r>
          <rPr>
            <sz val="9"/>
            <color indexed="81"/>
            <rFont val="Arial"/>
            <family val="2"/>
          </rPr>
          <t>Fehlermeldung</t>
        </r>
      </text>
    </comment>
    <comment ref="N48" authorId="0" shapeId="0" xr:uid="{00000000-0006-0000-0C00-00001B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9" authorId="0" shapeId="0" xr:uid="{00000000-0006-0000-0C00-00001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50" authorId="0" shapeId="0" xr:uid="{00000000-0006-0000-0C00-00001D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1" authorId="0" shapeId="0" xr:uid="{00000000-0006-0000-0C00-00001E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2" authorId="0" shapeId="0" xr:uid="{00000000-0006-0000-0C00-00001F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3" authorId="0" shapeId="0" xr:uid="{00000000-0006-0000-0C00-000020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4" authorId="0" shapeId="0" xr:uid="{00000000-0006-0000-0C00-000021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5" authorId="0" shapeId="0" xr:uid="{00000000-0006-0000-0C00-000022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6" authorId="0" shapeId="0" xr:uid="{00000000-0006-0000-0C00-000023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7" authorId="0" shapeId="0" xr:uid="{00000000-0006-0000-0C00-000024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8" authorId="0" shapeId="0" xr:uid="{00000000-0006-0000-0C00-00002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9" authorId="0" shapeId="0" xr:uid="{BCFE8D0A-9427-4677-878A-8E3804CA90D1}">
      <text>
        <r>
          <rPr>
            <sz val="9"/>
            <color indexed="81"/>
            <rFont val="Arial"/>
            <family val="2"/>
          </rPr>
          <t>Fehlermeldung</t>
        </r>
      </text>
    </comment>
    <comment ref="N60" authorId="0" shapeId="0" xr:uid="{00000000-0006-0000-0C00-00002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61" authorId="0" shapeId="0" xr:uid="{00000000-0006-0000-0C00-00002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64" authorId="0" shapeId="0" xr:uid="{00000000-0006-0000-0C00-000029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65" authorId="0" shapeId="0" xr:uid="{00000000-0006-0000-0C00-00002A000000}">
      <text>
        <r>
          <rPr>
            <sz val="9"/>
            <color indexed="81"/>
            <rFont val="Arial"/>
            <family val="2"/>
          </rPr>
          <t>Fehlermeldung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</authors>
  <commentList>
    <comment ref="C9" authorId="0" shapeId="0" xr:uid="{C2B70AB9-EDCE-E348-BDB5-D5DBFB98FB77}">
      <text>
        <r>
          <rPr>
            <sz val="8"/>
            <color rgb="FF000000"/>
            <rFont val="Arial"/>
            <family val="34"/>
          </rPr>
          <t>Vereinfachte Berechnung ohne 364, 365, 387, 485, 389, 3811, 3841, 4490, 4695)</t>
        </r>
      </text>
    </comment>
    <comment ref="C12" authorId="0" shapeId="0" xr:uid="{BC2EB06D-125D-944C-9564-BB6E52FD157E}">
      <text>
        <r>
          <rPr>
            <sz val="8"/>
            <color rgb="FF000000"/>
            <rFont val="Tahoma"/>
            <family val="2"/>
          </rPr>
          <t>inkl. Abzug 2068 Überschuss aus Anschlussgebühren im Ausgangsjahr</t>
        </r>
      </text>
    </comment>
    <comment ref="D39" authorId="0" shapeId="0" xr:uid="{17562E26-A4D6-1B4A-BB0F-0FE724C6740C}">
      <text>
        <r>
          <rPr>
            <sz val="8"/>
            <color rgb="FF000000"/>
            <rFont val="Arial"/>
            <family val="34"/>
          </rPr>
          <t xml:space="preserve">Vereinfachte Berechnung ohne 344, 364, 387, 444, 485, 389, 489, 3811, 3841, 4490, 4695)
</t>
        </r>
      </text>
    </comment>
    <comment ref="D40" authorId="0" shapeId="0" xr:uid="{42804AB2-0A1E-7A4A-8C57-BACD8024489D}">
      <text>
        <r>
          <rPr>
            <sz val="8"/>
            <color rgb="FF000000"/>
            <rFont val="Arial"/>
            <family val="34"/>
          </rPr>
          <t>Vereinfachte Berechnung ohne 344, 366, 387, 444, 485, 389, 489, 3811, 3841, 4490, 4695)</t>
        </r>
      </text>
    </comment>
    <comment ref="D41" authorId="0" shapeId="0" xr:uid="{88B4917E-8A03-7D41-80C2-FB56C2E9F663}">
      <text>
        <r>
          <rPr>
            <sz val="10"/>
            <color rgb="FF000000"/>
            <rFont val="Tahoma"/>
            <family val="2"/>
          </rPr>
          <t xml:space="preserve">Vereinfachte Berech nung inkl.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</authors>
  <commentList>
    <comment ref="G10" authorId="0" shapeId="0" xr:uid="{8C040811-A83D-CA46-9562-2BD9926FC028}">
      <text>
        <r>
          <rPr>
            <sz val="10"/>
            <color rgb="FF000000"/>
            <rFont val="Tahoma"/>
            <family val="2"/>
          </rPr>
          <t>Ja eingeben, wenn Budget - Budget, wenn Rechnung-Budget gewünscht: Nein eingeben oder  leer lassen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</authors>
  <commentList>
    <comment ref="H8" authorId="0" shapeId="0" xr:uid="{00000000-0006-0000-0300-000001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0" authorId="0" shapeId="0" xr:uid="{00000000-0006-0000-0300-00000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B27" authorId="0" shapeId="0" xr:uid="{00000000-0006-0000-0300-000003000000}">
      <text>
        <r>
          <rPr>
            <sz val="9"/>
            <color rgb="FF000000"/>
            <rFont val="Arial"/>
            <family val="2"/>
          </rPr>
          <t xml:space="preserve"> Fehlermeldung</t>
        </r>
      </text>
    </comment>
    <comment ref="H43" authorId="0" shapeId="0" xr:uid="{00000000-0006-0000-0300-00000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44" authorId="0" shapeId="0" xr:uid="{00000000-0006-0000-0300-000005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54" authorId="0" shapeId="0" xr:uid="{00000000-0006-0000-0300-00000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63" authorId="0" shapeId="0" xr:uid="{00000000-0006-0000-0300-00000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76" authorId="0" shapeId="0" xr:uid="{00000000-0006-0000-0300-000008000000}">
      <text>
        <r>
          <rPr>
            <sz val="9"/>
            <color rgb="FF000000"/>
            <rFont val="Arial"/>
            <family val="2"/>
          </rPr>
          <t>Fehlermeldung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</authors>
  <commentList>
    <comment ref="H10" authorId="0" shapeId="0" xr:uid="{00000000-0006-0000-0400-000001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2" authorId="0" shapeId="0" xr:uid="{00000000-0006-0000-0400-00000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3" authorId="0" shapeId="0" xr:uid="{00000000-0006-0000-0400-00000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4" authorId="0" shapeId="0" xr:uid="{00000000-0006-0000-0400-00000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5" authorId="0" shapeId="0" xr:uid="{00000000-0006-0000-0400-000005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6" authorId="0" shapeId="0" xr:uid="{1899BEEB-06B7-5646-A76D-96BBF7D062A8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7" authorId="0" shapeId="0" xr:uid="{00000000-0006-0000-0400-000006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18" authorId="0" shapeId="0" xr:uid="{00000000-0006-0000-0400-00000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9" authorId="0" shapeId="0" xr:uid="{00000000-0006-0000-0400-00000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0" authorId="0" shapeId="0" xr:uid="{00000000-0006-0000-0400-000009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1" authorId="0" shapeId="0" xr:uid="{00000000-0006-0000-0400-00000A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22" authorId="0" shapeId="0" xr:uid="{00000000-0006-0000-0400-00000B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3" authorId="0" shapeId="0" xr:uid="{00000000-0006-0000-0400-00000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4" authorId="0" shapeId="0" xr:uid="{00000000-0006-0000-0400-00000D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25" authorId="0" shapeId="0" xr:uid="{00000000-0006-0000-0400-00000E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6" authorId="0" shapeId="0" xr:uid="{8093E3AE-843A-4941-AED6-EFF82E1104BE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7" authorId="0" shapeId="0" xr:uid="{00000000-0006-0000-0400-00000F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8" authorId="0" shapeId="0" xr:uid="{00000000-0006-0000-0400-000010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9" authorId="0" shapeId="0" xr:uid="{00000000-0006-0000-0400-000011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30" authorId="0" shapeId="0" xr:uid="{00000000-0006-0000-0400-00001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33" authorId="0" shapeId="0" xr:uid="{00000000-0006-0000-0400-00001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36" authorId="0" shapeId="0" xr:uid="{00000000-0006-0000-0400-00001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37" authorId="0" shapeId="0" xr:uid="{00000000-0006-0000-0400-000015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38" authorId="0" shapeId="0" xr:uid="{00000000-0006-0000-0400-00001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39" authorId="0" shapeId="0" xr:uid="{00000000-0006-0000-0400-00001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40" authorId="0" shapeId="0" xr:uid="{00000000-0006-0000-0400-000019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41" authorId="0" shapeId="0" xr:uid="{00000000-0006-0000-0400-00001A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2" authorId="0" shapeId="0" xr:uid="{00000000-0006-0000-0400-00001B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3" authorId="0" shapeId="0" xr:uid="{00000000-0006-0000-0400-00001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44" authorId="0" shapeId="0" xr:uid="{EE09CC43-6526-654F-A1DD-97B449DC17DC}">
      <text>
        <r>
          <rPr>
            <sz val="9"/>
            <color rgb="FF000000"/>
            <rFont val="Arial"/>
            <family val="2"/>
          </rPr>
          <t>Fehlermeldung</t>
        </r>
      </text>
    </comment>
    <comment ref="H45" authorId="0" shapeId="0" xr:uid="{00000000-0006-0000-0400-00001D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46" authorId="0" shapeId="0" xr:uid="{00000000-0006-0000-0400-00001E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47" authorId="0" shapeId="0" xr:uid="{00000000-0006-0000-0400-00001F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8" authorId="0" shapeId="0" xr:uid="{00000000-0006-0000-0400-000020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9" authorId="0" shapeId="0" xr:uid="{00000000-0006-0000-0400-000021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50" authorId="0" shapeId="0" xr:uid="{00000000-0006-0000-0400-000022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51" authorId="0" shapeId="0" xr:uid="{00000000-0006-0000-0400-00002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52" authorId="0" shapeId="0" xr:uid="{00000000-0006-0000-0400-000024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53" authorId="0" shapeId="0" xr:uid="{00000000-0006-0000-0400-00002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54" authorId="0" shapeId="0" xr:uid="{00000000-0006-0000-0400-00002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55" authorId="0" shapeId="0" xr:uid="{00000000-0006-0000-0400-00002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56" authorId="0" shapeId="0" xr:uid="{00000000-0006-0000-0400-000028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57" authorId="0" shapeId="0" xr:uid="{00000000-0006-0000-0400-000029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58" authorId="0" shapeId="0" xr:uid="{00000000-0006-0000-0400-00002A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61" authorId="0" shapeId="0" xr:uid="{00000000-0006-0000-0400-00002B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62" authorId="0" shapeId="0" xr:uid="{00000000-0006-0000-0400-00002C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65" authorId="0" shapeId="0" xr:uid="{00000000-0006-0000-0400-00002D000000}">
      <text>
        <r>
          <rPr>
            <sz val="9"/>
            <color rgb="FF000000"/>
            <rFont val="Arial"/>
            <family val="2"/>
          </rPr>
          <t>Fehlermeldung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</authors>
  <commentList>
    <comment ref="H10" authorId="0" shapeId="0" xr:uid="{00000000-0006-0000-0500-000001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2" authorId="0" shapeId="0" xr:uid="{00000000-0006-0000-0500-00000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3" authorId="0" shapeId="0" xr:uid="{00000000-0006-0000-0500-000003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14" authorId="0" shapeId="0" xr:uid="{00000000-0006-0000-0500-00000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5" authorId="0" shapeId="0" xr:uid="{00000000-0006-0000-0500-00000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16" authorId="0" shapeId="0" xr:uid="{C8E82DD2-BC65-1A4B-B6C7-C0F6596DEDC9}">
      <text>
        <r>
          <rPr>
            <sz val="9"/>
            <color rgb="FF000000"/>
            <rFont val="Arial"/>
            <family val="2"/>
          </rPr>
          <t>Fehlermeldung</t>
        </r>
      </text>
    </comment>
    <comment ref="H17" authorId="0" shapeId="0" xr:uid="{00000000-0006-0000-0500-000006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18" authorId="0" shapeId="0" xr:uid="{00000000-0006-0000-0500-000007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19" authorId="0" shapeId="0" xr:uid="{00000000-0006-0000-0500-000008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20" authorId="0" shapeId="0" xr:uid="{00000000-0006-0000-0500-000009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21" authorId="0" shapeId="0" xr:uid="{00000000-0006-0000-0500-00000A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22" authorId="0" shapeId="0" xr:uid="{00000000-0006-0000-0500-00000B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23" authorId="0" shapeId="0" xr:uid="{00000000-0006-0000-0500-00000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4" authorId="0" shapeId="0" xr:uid="{00000000-0006-0000-0500-00000D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25" authorId="0" shapeId="0" xr:uid="{00000000-0006-0000-0500-00000E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26" authorId="0" shapeId="0" xr:uid="{D93702A4-E8AB-FE48-A3E0-2637A7EC2EA4}">
      <text>
        <r>
          <rPr>
            <sz val="9"/>
            <color rgb="FF000000"/>
            <rFont val="Arial"/>
            <family val="2"/>
          </rPr>
          <t>Fehlermeldung</t>
        </r>
      </text>
    </comment>
    <comment ref="H27" authorId="0" shapeId="0" xr:uid="{00000000-0006-0000-0500-00000F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28" authorId="0" shapeId="0" xr:uid="{00000000-0006-0000-0500-000010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29" authorId="0" shapeId="0" xr:uid="{00000000-0006-0000-0500-000011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30" authorId="0" shapeId="0" xr:uid="{00000000-0006-0000-0500-000012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33" authorId="0" shapeId="0" xr:uid="{00000000-0006-0000-0500-000013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36" authorId="0" shapeId="0" xr:uid="{00000000-0006-0000-0500-00001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37" authorId="0" shapeId="0" xr:uid="{00000000-0006-0000-0500-00001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38" authorId="0" shapeId="0" xr:uid="{00000000-0006-0000-0500-000016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39" authorId="0" shapeId="0" xr:uid="{00000000-0006-0000-0500-000017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0" authorId="0" shapeId="0" xr:uid="{00000000-0006-0000-0500-00001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41" authorId="0" shapeId="0" xr:uid="{00000000-0006-0000-0500-000019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2" authorId="0" shapeId="0" xr:uid="{00000000-0006-0000-0500-00001A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3" authorId="0" shapeId="0" xr:uid="{00000000-0006-0000-0500-00001B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4" authorId="0" shapeId="0" xr:uid="{D553292E-AE7A-D542-9457-15CA6FC8B79A}">
      <text>
        <r>
          <rPr>
            <sz val="9"/>
            <color indexed="81"/>
            <rFont val="Arial"/>
            <family val="2"/>
          </rPr>
          <t>Fehlermeldung</t>
        </r>
      </text>
    </comment>
    <comment ref="H45" authorId="0" shapeId="0" xr:uid="{00000000-0006-0000-0500-00001C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6" authorId="0" shapeId="0" xr:uid="{00000000-0006-0000-0500-00001D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7" authorId="0" shapeId="0" xr:uid="{00000000-0006-0000-0500-00001E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8" authorId="0" shapeId="0" xr:uid="{00000000-0006-0000-0500-00001F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49" authorId="0" shapeId="0" xr:uid="{00000000-0006-0000-0500-000020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50" authorId="0" shapeId="0" xr:uid="{00000000-0006-0000-0500-000021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51" authorId="0" shapeId="0" xr:uid="{00000000-0006-0000-0500-00002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52" authorId="0" shapeId="0" xr:uid="{00000000-0006-0000-0500-000023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53" authorId="0" shapeId="0" xr:uid="{00000000-0006-0000-0500-000024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54" authorId="0" shapeId="0" xr:uid="{00000000-0006-0000-0500-00002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55" authorId="0" shapeId="0" xr:uid="{00000000-0006-0000-0500-00002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56" authorId="0" shapeId="0" xr:uid="{00000000-0006-0000-0500-00002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57" authorId="0" shapeId="0" xr:uid="{00000000-0006-0000-0500-000028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58" authorId="0" shapeId="0" xr:uid="{00000000-0006-0000-0500-000029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H61" authorId="0" shapeId="0" xr:uid="{00000000-0006-0000-0500-00002A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62" authorId="0" shapeId="0" xr:uid="{00000000-0006-0000-0500-00002B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H65" authorId="0" shapeId="0" xr:uid="{00000000-0006-0000-0500-00002C000000}">
      <text>
        <r>
          <rPr>
            <sz val="9"/>
            <color indexed="81"/>
            <rFont val="Arial"/>
            <family val="2"/>
          </rPr>
          <t>Fehlermeldung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  <author>Microsoft Office-Anwender</author>
  </authors>
  <commentList>
    <comment ref="N13" authorId="0" shapeId="0" xr:uid="{00000000-0006-0000-0600-000001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15" authorId="0" shapeId="0" xr:uid="{00000000-0006-0000-0600-000002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16" authorId="0" shapeId="0" xr:uid="{00000000-0006-0000-0600-000003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I17" authorId="1" shapeId="0" xr:uid="{00000000-0006-0000-0600-000004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17" authorId="0" shapeId="0" xr:uid="{00000000-0006-0000-0600-00000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17" authorId="1" shapeId="0" xr:uid="{00000000-0006-0000-0600-000006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17" authorId="1" shapeId="0" xr:uid="{00000000-0006-0000-0600-000007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17" authorId="1" shapeId="0" xr:uid="{00000000-0006-0000-0600-000008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17" authorId="1" shapeId="0" xr:uid="{00000000-0006-0000-0600-000009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17" authorId="1" shapeId="0" xr:uid="{00000000-0006-0000-0600-00000A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17" authorId="1" shapeId="0" xr:uid="{00000000-0006-0000-0600-00000B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18" authorId="1" shapeId="0" xr:uid="{00000000-0006-0000-0600-00002E00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N18" authorId="0" shapeId="0" xr:uid="{00000000-0006-0000-0600-00002F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18" authorId="1" shapeId="0" xr:uid="{00000000-0006-0000-0600-00003000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Y18" authorId="1" shapeId="0" xr:uid="{00000000-0006-0000-0600-00003100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AG18" authorId="1" shapeId="0" xr:uid="{00000000-0006-0000-0600-00003200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AO18" authorId="1" shapeId="0" xr:uid="{00000000-0006-0000-0600-00003300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AW18" authorId="1" shapeId="0" xr:uid="{00000000-0006-0000-0600-00003400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BE18" authorId="1" shapeId="0" xr:uid="{00000000-0006-0000-0600-00003500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I19" authorId="0" shapeId="0" xr:uid="{8AEC520F-1C45-B84D-839F-9AA3E7EB6E2D}">
      <text>
        <r>
          <rPr>
            <sz val="10"/>
            <color rgb="FF000000"/>
            <rFont val="Arial"/>
            <family val="2"/>
          </rPr>
          <t xml:space="preserve">Zinsertrag wird fortgeschrieben, Veränderungen in Form 5a berechnet und in 5b übertragen
</t>
        </r>
      </text>
    </comment>
    <comment ref="N19" authorId="0" shapeId="0" xr:uid="{DE275A9B-E7E6-BC4A-AFF2-4DFBE46A0125}">
      <text>
        <r>
          <rPr>
            <sz val="9"/>
            <color indexed="81"/>
            <rFont val="Arial"/>
            <family val="2"/>
          </rPr>
          <t>Fehlermeldung</t>
        </r>
      </text>
    </comment>
    <comment ref="Q19" authorId="0" shapeId="0" xr:uid="{09B72E5B-7B87-FC48-842A-5C303CBCEC96}">
      <text>
        <r>
          <rPr>
            <sz val="10"/>
            <color rgb="FF000000"/>
            <rFont val="Arial"/>
            <family val="2"/>
          </rPr>
          <t xml:space="preserve">Zinsertrag wird fortgeschrieben, Veränderungen in Form 5a berechnet und in 5b übertragen
</t>
        </r>
      </text>
    </comment>
    <comment ref="Y19" authorId="0" shapeId="0" xr:uid="{C25DB189-DCA8-1747-8A8A-0FEC21BF87EF}">
      <text>
        <r>
          <rPr>
            <sz val="10"/>
            <color rgb="FF000000"/>
            <rFont val="Arial"/>
            <family val="2"/>
          </rPr>
          <t xml:space="preserve">Zinsertrag wird fortgeschrieben, Veränderungen in Form 5a berechnet und in 5b übertragen
</t>
        </r>
      </text>
    </comment>
    <comment ref="AG19" authorId="0" shapeId="0" xr:uid="{0D5C228F-9371-5644-8BDC-0AFFDF0B3A07}">
      <text>
        <r>
          <rPr>
            <sz val="10"/>
            <color rgb="FF000000"/>
            <rFont val="Arial"/>
            <family val="2"/>
          </rPr>
          <t xml:space="preserve">Zinsertrag wird fortgeschrieben, Veränderungen in Form 5a berechnet und in 5b übertragen
</t>
        </r>
      </text>
    </comment>
    <comment ref="AO19" authorId="0" shapeId="0" xr:uid="{00934EA9-2D7B-624D-9CA8-8BA01D06BF76}">
      <text>
        <r>
          <rPr>
            <sz val="10"/>
            <color rgb="FF000000"/>
            <rFont val="Arial"/>
            <family val="2"/>
          </rPr>
          <t xml:space="preserve">Zinsertrag wird fortgeschrieben, Veränderungen in Form 5a berechnet und in 5b übertragen
</t>
        </r>
      </text>
    </comment>
    <comment ref="AW19" authorId="0" shapeId="0" xr:uid="{3C600CA2-741D-3D4D-AACD-772BA694D745}">
      <text>
        <r>
          <rPr>
            <sz val="10"/>
            <color rgb="FF000000"/>
            <rFont val="Arial"/>
            <family val="2"/>
          </rPr>
          <t xml:space="preserve">Zinsertrag wird fortgeschrieben, Veränderungen in Form 5a berechnet und in 5b übertragen
</t>
        </r>
      </text>
    </comment>
    <comment ref="BE19" authorId="0" shapeId="0" xr:uid="{974DE907-662A-F144-BB08-34015E5181E2}">
      <text>
        <r>
          <rPr>
            <sz val="10"/>
            <color rgb="FF000000"/>
            <rFont val="Arial"/>
            <family val="2"/>
          </rPr>
          <t xml:space="preserve">Zinsertrag wird fortgeschrieben, Veränderungen in Form 5a berechnet und in 5b übertragen
</t>
        </r>
      </text>
    </comment>
    <comment ref="N20" authorId="0" shapeId="0" xr:uid="{00000000-0006-0000-0600-000058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21" authorId="0" shapeId="0" xr:uid="{00000000-0006-0000-0600-000059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I22" authorId="1" shapeId="0" xr:uid="{A2C767BC-AF4F-1E48-BF3A-A10B1A7EDCFF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2" authorId="0" shapeId="0" xr:uid="{00000000-0006-0000-0600-00005B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22" authorId="1" shapeId="0" xr:uid="{00000000-0006-0000-0600-00005C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22" authorId="1" shapeId="0" xr:uid="{00000000-0006-0000-0600-00005D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22" authorId="1" shapeId="0" xr:uid="{00000000-0006-0000-0600-00005E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22" authorId="1" shapeId="0" xr:uid="{00000000-0006-0000-0600-00005F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22" authorId="1" shapeId="0" xr:uid="{00000000-0006-0000-0600-000060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22" authorId="1" shapeId="0" xr:uid="{00000000-0006-0000-0600-000061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23" authorId="1" shapeId="0" xr:uid="{00000000-0006-0000-0600-000084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3" authorId="0" shapeId="0" xr:uid="{00000000-0006-0000-0600-000085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23" authorId="1" shapeId="0" xr:uid="{00000000-0006-0000-0600-000086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23" authorId="1" shapeId="0" xr:uid="{00000000-0006-0000-0600-000087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23" authorId="1" shapeId="0" xr:uid="{00000000-0006-0000-0600-000088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23" authorId="1" shapeId="0" xr:uid="{00000000-0006-0000-0600-000089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23" authorId="1" shapeId="0" xr:uid="{00000000-0006-0000-0600-00008A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23" authorId="1" shapeId="0" xr:uid="{00000000-0006-0000-0600-00008B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24" authorId="1" shapeId="0" xr:uid="{00000000-0006-0000-0600-0000AE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4" authorId="0" shapeId="0" xr:uid="{00000000-0006-0000-0600-0000AF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24" authorId="1" shapeId="0" xr:uid="{00000000-0006-0000-0600-0000B0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24" authorId="1" shapeId="0" xr:uid="{00000000-0006-0000-0600-0000B1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24" authorId="1" shapeId="0" xr:uid="{00000000-0006-0000-0600-0000B2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24" authorId="1" shapeId="0" xr:uid="{00000000-0006-0000-0600-0000B3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24" authorId="1" shapeId="0" xr:uid="{00000000-0006-0000-0600-0000B4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24" authorId="1" shapeId="0" xr:uid="{00000000-0006-0000-0600-0000B5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25" authorId="1" shapeId="0" xr:uid="{00000000-0006-0000-0600-0000D8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5" authorId="0" shapeId="0" xr:uid="{00000000-0006-0000-0600-0000D900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25" authorId="1" shapeId="0" xr:uid="{00000000-0006-0000-0600-0000DA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25" authorId="1" shapeId="0" xr:uid="{00000000-0006-0000-0600-0000DB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25" authorId="1" shapeId="0" xr:uid="{00000000-0006-0000-0600-0000DC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25" authorId="1" shapeId="0" xr:uid="{00000000-0006-0000-0600-0000DD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25" authorId="1" shapeId="0" xr:uid="{00000000-0006-0000-0600-0000DE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25" authorId="1" shapeId="0" xr:uid="{00000000-0006-0000-0600-0000DF00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26" authorId="1" shapeId="0" xr:uid="{00000000-0006-0000-0600-000002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6" authorId="0" shapeId="0" xr:uid="{00000000-0006-0000-0600-000003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26" authorId="1" shapeId="0" xr:uid="{00000000-0006-0000-0600-000004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26" authorId="1" shapeId="0" xr:uid="{00000000-0006-0000-0600-000005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26" authorId="1" shapeId="0" xr:uid="{00000000-0006-0000-0600-000006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26" authorId="1" shapeId="0" xr:uid="{00000000-0006-0000-0600-000007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26" authorId="1" shapeId="0" xr:uid="{00000000-0006-0000-0600-000008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26" authorId="1" shapeId="0" xr:uid="{00000000-0006-0000-0600-000009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27" authorId="0" shapeId="0" xr:uid="{00000000-0006-0000-0600-00002C01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28" authorId="0" shapeId="0" xr:uid="{00000000-0006-0000-0600-00002D01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29" authorId="0" shapeId="0" xr:uid="{A35B987B-FF33-0146-AC36-0AADE6957B65}">
      <text>
        <r>
          <rPr>
            <sz val="9"/>
            <color rgb="FF000000"/>
            <rFont val="Arial"/>
            <family val="2"/>
          </rPr>
          <t>Fehlermeldung</t>
        </r>
      </text>
    </comment>
    <comment ref="N30" authorId="0" shapeId="0" xr:uid="{00000000-0006-0000-0600-00002E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1" authorId="0" shapeId="0" xr:uid="{00000000-0006-0000-0600-00002F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2" authorId="0" shapeId="0" xr:uid="{00000000-0006-0000-0600-000030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3" authorId="0" shapeId="0" xr:uid="{00000000-0006-0000-0600-000031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6" authorId="0" shapeId="0" xr:uid="{00000000-0006-0000-0600-00003201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38" authorId="0" shapeId="0" xr:uid="{00000000-0006-0000-0600-000033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39" authorId="0" shapeId="0" xr:uid="{00000000-0006-0000-0600-00003401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0" authorId="0" shapeId="0" xr:uid="{00000000-0006-0000-0600-00003501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1" authorId="0" shapeId="0" xr:uid="{00000000-0006-0000-0600-00003601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2" authorId="0" shapeId="0" xr:uid="{00000000-0006-0000-0600-00003701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3" authorId="0" shapeId="0" xr:uid="{00000000-0006-0000-0600-000038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4" authorId="0" shapeId="0" xr:uid="{00000000-0006-0000-0600-00003901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45" authorId="0" shapeId="0" xr:uid="{00000000-0006-0000-0600-00003A01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I46" authorId="1" shapeId="0" xr:uid="{00000000-0006-0000-0600-00003B01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N46" authorId="0" shapeId="0" xr:uid="{00000000-0006-0000-0600-00003C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46" authorId="1" shapeId="0" xr:uid="{00000000-0006-0000-0600-00003D01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Y46" authorId="1" shapeId="0" xr:uid="{00000000-0006-0000-0600-00003E01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AG46" authorId="1" shapeId="0" xr:uid="{00000000-0006-0000-0600-00003F01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AO46" authorId="1" shapeId="0" xr:uid="{00000000-0006-0000-0600-00004001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AW46" authorId="1" shapeId="0" xr:uid="{00000000-0006-0000-0600-00004101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BE46" authorId="1" shapeId="0" xr:uid="{00000000-0006-0000-0600-000042010000}">
      <text>
        <r>
          <rPr>
            <sz val="10"/>
            <color rgb="FF000000"/>
            <rFont val="Calibri"/>
            <family val="2"/>
          </rPr>
          <t>a.o. Positionen aus Budget werden abgezogen</t>
        </r>
      </text>
    </comment>
    <comment ref="I47" authorId="0" shapeId="0" xr:uid="{DBF11FE3-9BB8-4E47-856A-38984ABA3F9F}">
      <text>
        <r>
          <rPr>
            <sz val="10"/>
            <color rgb="FF000000"/>
            <rFont val="Arial"/>
            <family val="2"/>
          </rPr>
          <t>Zinsertrag wird fortgeschrieben, Veränderungen in Form 5a berechnet und in 5b übertragen</t>
        </r>
      </text>
    </comment>
    <comment ref="N48" authorId="0" shapeId="0" xr:uid="{00000000-0006-0000-0600-000065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49" authorId="0" shapeId="0" xr:uid="{00000000-0006-0000-0600-000066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I50" authorId="1" shapeId="0" xr:uid="{F55D1925-8ED0-574F-99F1-0AC9D7FFD3C3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0" authorId="0" shapeId="0" xr:uid="{00000000-0006-0000-0600-00006801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Q50" authorId="1" shapeId="0" xr:uid="{00000000-0006-0000-0600-000069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50" authorId="1" shapeId="0" xr:uid="{00000000-0006-0000-0600-00006A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50" authorId="1" shapeId="0" xr:uid="{00000000-0006-0000-0600-00006B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50" authorId="1" shapeId="0" xr:uid="{00000000-0006-0000-0600-00006C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50" authorId="1" shapeId="0" xr:uid="{00000000-0006-0000-0600-00006D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50" authorId="1" shapeId="0" xr:uid="{00000000-0006-0000-0600-00006E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51" authorId="1" shapeId="0" xr:uid="{00000000-0006-0000-0600-000091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1" authorId="0" shapeId="0" xr:uid="{00000000-0006-0000-0600-000092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51" authorId="1" shapeId="0" xr:uid="{00000000-0006-0000-0600-000093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51" authorId="1" shapeId="0" xr:uid="{00000000-0006-0000-0600-000094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51" authorId="1" shapeId="0" xr:uid="{00000000-0006-0000-0600-000095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51" authorId="1" shapeId="0" xr:uid="{00000000-0006-0000-0600-000096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51" authorId="1" shapeId="0" xr:uid="{00000000-0006-0000-0600-000097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51" authorId="1" shapeId="0" xr:uid="{00000000-0006-0000-0600-000098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52" authorId="1" shapeId="0" xr:uid="{00000000-0006-0000-0600-0000BB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2" authorId="0" shapeId="0" xr:uid="{00000000-0006-0000-0600-0000BC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52" authorId="1" shapeId="0" xr:uid="{00000000-0006-0000-0600-0000BD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52" authorId="1" shapeId="0" xr:uid="{00000000-0006-0000-0600-0000BE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52" authorId="1" shapeId="0" xr:uid="{00000000-0006-0000-0600-0000BF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52" authorId="1" shapeId="0" xr:uid="{00000000-0006-0000-0600-0000C0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52" authorId="1" shapeId="0" xr:uid="{00000000-0006-0000-0600-0000C1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52" authorId="1" shapeId="0" xr:uid="{00000000-0006-0000-0600-0000C2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53" authorId="1" shapeId="0" xr:uid="{00000000-0006-0000-0600-0000E5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3" authorId="0" shapeId="0" xr:uid="{00000000-0006-0000-0600-0000E601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53" authorId="1" shapeId="0" xr:uid="{00000000-0006-0000-0600-0000E7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53" authorId="1" shapeId="0" xr:uid="{00000000-0006-0000-0600-0000E8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53" authorId="1" shapeId="0" xr:uid="{00000000-0006-0000-0600-0000E9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53" authorId="1" shapeId="0" xr:uid="{00000000-0006-0000-0600-0000EA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53" authorId="1" shapeId="0" xr:uid="{00000000-0006-0000-0600-0000EB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53" authorId="1" shapeId="0" xr:uid="{00000000-0006-0000-0600-0000EC01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I54" authorId="1" shapeId="0" xr:uid="{00000000-0006-0000-0600-00000F02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4" authorId="0" shapeId="0" xr:uid="{00000000-0006-0000-0600-00001002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Q54" authorId="1" shapeId="0" xr:uid="{00000000-0006-0000-0600-00001102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Y54" authorId="1" shapeId="0" xr:uid="{00000000-0006-0000-0600-00001202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G54" authorId="1" shapeId="0" xr:uid="{00000000-0006-0000-0600-00001302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O54" authorId="1" shapeId="0" xr:uid="{00000000-0006-0000-0600-00001402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AW54" authorId="1" shapeId="0" xr:uid="{00000000-0006-0000-0600-00001502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BE54" authorId="1" shapeId="0" xr:uid="{00000000-0006-0000-0600-000016020000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5" authorId="0" shapeId="0" xr:uid="{00000000-0006-0000-0600-00003902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6" authorId="0" shapeId="0" xr:uid="{00000000-0006-0000-0600-00003A02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57" authorId="0" shapeId="0" xr:uid="{00000000-0006-0000-0600-00003B02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I58" authorId="1" shapeId="0" xr:uid="{41E8CFB4-B77D-ED48-89BB-0E38B840ABCF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8" authorId="0" shapeId="0" xr:uid="{00000000-0006-0000-0600-00003C02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I59" authorId="1" shapeId="0" xr:uid="{79ECE61B-7555-0149-9CC2-B1AD6F9B40C5}">
      <text>
        <r>
          <rPr>
            <b/>
            <sz val="10"/>
            <color rgb="FF000000"/>
            <rFont val="Calibri"/>
            <family val="2"/>
          </rPr>
          <t>Wird in Form 5 erfasst</t>
        </r>
      </text>
    </comment>
    <comment ref="N59" authorId="0" shapeId="0" xr:uid="{00000000-0006-0000-0600-00003D02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60" authorId="0" shapeId="0" xr:uid="{00000000-0006-0000-0600-00003E02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N61" authorId="0" shapeId="0" xr:uid="{00000000-0006-0000-0600-00003F02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64" authorId="0" shapeId="0" xr:uid="{00000000-0006-0000-0600-000040020000}">
      <text>
        <r>
          <rPr>
            <sz val="9"/>
            <color indexed="81"/>
            <rFont val="Arial"/>
            <family val="2"/>
          </rPr>
          <t>Fehlermeldung</t>
        </r>
      </text>
    </comment>
    <comment ref="N65" authorId="0" shapeId="0" xr:uid="{00000000-0006-0000-0600-000041020000}">
      <text>
        <r>
          <rPr>
            <sz val="9"/>
            <color rgb="FF000000"/>
            <rFont val="Arial"/>
            <family val="2"/>
          </rPr>
          <t>Fehlermeldung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  <author>Microsoft Office-Anwender</author>
  </authors>
  <commentList>
    <comment ref="B10" authorId="0" shapeId="0" xr:uid="{00000000-0006-0000-0700-000001000000}">
      <text>
        <r>
          <rPr>
            <sz val="9"/>
            <color rgb="FF000000"/>
            <rFont val="Arial"/>
            <family val="2"/>
          </rPr>
          <t>Drop Down Menü aus Formular F00 Konfiguration</t>
        </r>
      </text>
    </comment>
    <comment ref="C10" authorId="0" shapeId="0" xr:uid="{00000000-0006-0000-0700-000002000000}">
      <text>
        <r>
          <rPr>
            <sz val="9"/>
            <color rgb="FF000000"/>
            <rFont val="Arial"/>
            <family val="2"/>
          </rPr>
          <t>Drop Down Menü aus Tabellen für Dropdown</t>
        </r>
      </text>
    </comment>
    <comment ref="J13" authorId="0" shapeId="0" xr:uid="{00000000-0006-0000-0700-00000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J15" authorId="0" shapeId="0" xr:uid="{00000000-0006-0000-0700-00000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15" authorId="1" shapeId="0" xr:uid="{00000000-0006-0000-0700-000005000000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15" authorId="0" shapeId="0" xr:uid="{CC98E25B-0B7E-5C44-9BE2-81F77EB40B27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16" authorId="0" shapeId="0" xr:uid="{00000000-0006-0000-0700-00000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16" authorId="1" shapeId="0" xr:uid="{B797A1EC-D333-914C-B72C-E979F05B5433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16" authorId="0" shapeId="0" xr:uid="{FF0DBE81-0A46-F548-8DCC-355BE5B0C7D2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17" authorId="0" shapeId="0" xr:uid="{00000000-0006-0000-0700-00000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17" authorId="1" shapeId="0" xr:uid="{1BC9C560-00E4-784C-9EB2-594DFF264864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17" authorId="0" shapeId="0" xr:uid="{09A1EEF2-BF37-A947-A9BD-134265018473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18" authorId="0" shapeId="0" xr:uid="{00000000-0006-0000-0700-00000A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18" authorId="1" shapeId="0" xr:uid="{7BBAFA0B-5482-3047-8FE9-53D4AA1FDB5D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18" authorId="0" shapeId="0" xr:uid="{406C4535-7221-EB4E-AD2D-F8015B2CD5D5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19" authorId="0" shapeId="0" xr:uid="{00000000-0006-0000-0700-00000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19" authorId="1" shapeId="0" xr:uid="{B0DACB1A-36C9-A144-9464-039F10F5BA67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19" authorId="0" shapeId="0" xr:uid="{3F6FB66A-D9AA-374E-9B3C-003010239B06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20" authorId="0" shapeId="0" xr:uid="{00000000-0006-0000-0700-00000E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20" authorId="1" shapeId="0" xr:uid="{621DAEDF-2A4C-3F49-ABCB-73EA7C208429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20" authorId="0" shapeId="0" xr:uid="{DA76E79D-1780-9046-B057-0F3FD491A88E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21" authorId="0" shapeId="0" xr:uid="{00000000-0006-0000-0700-000010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21" authorId="1" shapeId="0" xr:uid="{D8FAD507-7EA3-7C49-AD49-490126D403F1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21" authorId="0" shapeId="0" xr:uid="{65A799CB-B762-C048-ADAF-D4E513C220A3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23" authorId="0" shapeId="0" xr:uid="{00000000-0006-0000-0700-00001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23" authorId="1" shapeId="0" xr:uid="{3E389AE6-8CC6-A845-B390-F24AD1E6DE89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23" authorId="0" shapeId="0" xr:uid="{0179B29E-463A-A345-AC7B-ADEC1A5783F8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24" authorId="0" shapeId="0" xr:uid="{00000000-0006-0000-0700-00001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24" authorId="1" shapeId="0" xr:uid="{A762DA46-0865-6A4C-899E-4EAB68CDA1C4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24" authorId="0" shapeId="0" xr:uid="{B53CCF94-E415-4143-9C19-BB05CBEB183A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25" authorId="0" shapeId="0" xr:uid="{00000000-0006-0000-0700-00001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25" authorId="1" shapeId="0" xr:uid="{0E174376-633F-B041-A155-B6E16E03C0B4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25" authorId="0" shapeId="0" xr:uid="{99885665-6AAE-AA42-8E0F-CEBFDCD7050D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26" authorId="0" shapeId="0" xr:uid="{00000000-0006-0000-0700-00001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26" authorId="1" shapeId="0" xr:uid="{2B6D421B-E216-874F-988E-A6D6AD65DEC2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26" authorId="0" shapeId="0" xr:uid="{3E49E0C1-312D-A04B-92EF-E5C00E7AC15E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27" authorId="0" shapeId="0" xr:uid="{00000000-0006-0000-0700-00001A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27" authorId="1" shapeId="0" xr:uid="{C93FE6BF-6B3B-2B42-A864-DBC692C3DF8B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27" authorId="0" shapeId="0" xr:uid="{584CF1D8-7842-6140-8E9D-D59A37A04296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28" authorId="0" shapeId="0" xr:uid="{00000000-0006-0000-0700-00001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28" authorId="1" shapeId="0" xr:uid="{711A0A55-EFC7-4D46-AB1E-9CE9BC7D8838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28" authorId="0" shapeId="0" xr:uid="{005287AE-87F5-BF46-8E23-3E56CB629D92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29" authorId="0" shapeId="0" xr:uid="{00000000-0006-0000-0700-00001E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29" authorId="1" shapeId="0" xr:uid="{769A2502-12F5-DD49-99F1-19B0674BDA60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29" authorId="0" shapeId="0" xr:uid="{2208E4F8-62B9-F347-8A66-1088564D73D0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31" authorId="0" shapeId="0" xr:uid="{00000000-0006-0000-0700-000020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31" authorId="1" shapeId="0" xr:uid="{689C2EC3-48B9-4C41-9A2D-A5E2F34282B9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31" authorId="0" shapeId="0" xr:uid="{AB824C4F-A402-7643-A872-82DA06DF976C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32" authorId="0" shapeId="0" xr:uid="{00000000-0006-0000-0700-00002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32" authorId="1" shapeId="0" xr:uid="{3B71D10B-36CA-A440-B1B6-1735D5A13EF9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32" authorId="0" shapeId="0" xr:uid="{00191AAF-CED4-854A-9B1B-A111E34200C6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33" authorId="0" shapeId="0" xr:uid="{00000000-0006-0000-0700-00002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33" authorId="1" shapeId="0" xr:uid="{832C15FD-8421-574D-9C54-25A622F26242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33" authorId="0" shapeId="0" xr:uid="{07F1EE57-B54B-FD47-95F0-CD000E5B2451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34" authorId="0" shapeId="0" xr:uid="{00000000-0006-0000-0700-00002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34" authorId="1" shapeId="0" xr:uid="{717414E2-7468-8E40-8814-5590E5627B5E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34" authorId="0" shapeId="0" xr:uid="{06A92088-788D-E54B-B9E1-988EF6537D28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35" authorId="0" shapeId="0" xr:uid="{00000000-0006-0000-0700-00002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35" authorId="1" shapeId="0" xr:uid="{32580233-D6E9-AA40-A3E4-998B4170D13E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35" authorId="0" shapeId="0" xr:uid="{8EA86726-35AD-4C49-84A8-35C9E2A73D8F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36" authorId="0" shapeId="0" xr:uid="{00000000-0006-0000-0700-00002A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36" authorId="1" shapeId="0" xr:uid="{D9FD81F2-AA39-A741-A5D6-7F64FE4115AC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36" authorId="0" shapeId="0" xr:uid="{4C210A85-3C16-8348-8443-42D20F0ACABE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37" authorId="0" shapeId="0" xr:uid="{00000000-0006-0000-0700-00002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37" authorId="1" shapeId="0" xr:uid="{BD4A660C-12B7-3441-B826-DC39F96B1466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37" authorId="0" shapeId="0" xr:uid="{1C1D2D01-E122-8647-B693-9259058C20A5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39" authorId="0" shapeId="0" xr:uid="{00000000-0006-0000-0700-00002E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39" authorId="1" shapeId="0" xr:uid="{288076B4-2029-3948-8EDA-C76326E4F478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39" authorId="0" shapeId="0" xr:uid="{251A639B-71D9-704E-A68F-9D0A1C563220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40" authorId="0" shapeId="0" xr:uid="{00000000-0006-0000-0700-000030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40" authorId="1" shapeId="0" xr:uid="{488FA6F0-F18E-084B-854C-F0266DAA1F31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40" authorId="0" shapeId="0" xr:uid="{4683FE4A-D0B6-E24D-A7BF-69074918B198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41" authorId="0" shapeId="0" xr:uid="{00000000-0006-0000-0700-00003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41" authorId="1" shapeId="0" xr:uid="{33085B33-9F2C-7C43-939C-138E8A9CAFF6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41" authorId="0" shapeId="0" xr:uid="{3EDD2FE9-75C5-774F-8673-710E63A5B824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42" authorId="0" shapeId="0" xr:uid="{00000000-0006-0000-0700-00003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42" authorId="1" shapeId="0" xr:uid="{15C6CD5E-17E9-FB43-8C06-BF226875CAE6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42" authorId="0" shapeId="0" xr:uid="{37FBCF7E-DD47-F54F-A2F1-2E203A3652F9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43" authorId="0" shapeId="0" xr:uid="{00000000-0006-0000-0700-00003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43" authorId="1" shapeId="0" xr:uid="{1868B7F6-4602-CD47-8D2E-FD2B8EDBE9A9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43" authorId="0" shapeId="0" xr:uid="{A1DA5184-6591-B745-9A5B-7EF486388C20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44" authorId="0" shapeId="0" xr:uid="{00000000-0006-0000-0700-00003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44" authorId="1" shapeId="0" xr:uid="{007C4469-BEC2-EF49-BBDB-F4A0FD86BD90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44" authorId="0" shapeId="0" xr:uid="{E58E2006-00A9-664A-9098-FD369C13E76D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46" authorId="0" shapeId="0" xr:uid="{00000000-0006-0000-0700-00003A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46" authorId="1" shapeId="0" xr:uid="{1BA7D860-19EB-7347-9305-A8B8BF32B117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46" authorId="0" shapeId="0" xr:uid="{FCAAC395-E2B4-D64B-AF01-43D4495641C8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47" authorId="0" shapeId="0" xr:uid="{00000000-0006-0000-0700-00003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47" authorId="1" shapeId="0" xr:uid="{556875DB-DADF-CF4E-A449-B7DF20ABFC3F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47" authorId="0" shapeId="0" xr:uid="{D6BE384C-5B0E-EF4A-AB1A-AEA61324A3DD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48" authorId="0" shapeId="0" xr:uid="{00000000-0006-0000-0700-00003E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48" authorId="1" shapeId="0" xr:uid="{60ED8D11-79E8-5243-9481-11045FD1859A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48" authorId="0" shapeId="0" xr:uid="{2E87A4C8-DD7C-AD41-9DB1-D0FA5E642C3E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49" authorId="0" shapeId="0" xr:uid="{00000000-0006-0000-0700-000040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49" authorId="1" shapeId="0" xr:uid="{36E7718C-4EDA-7348-BF39-3CE71DBB6B54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49" authorId="0" shapeId="0" xr:uid="{C37AAFA9-FEA7-9B4E-BE26-7F51AC661B8E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50" authorId="0" shapeId="0" xr:uid="{00000000-0006-0000-0700-00004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50" authorId="1" shapeId="0" xr:uid="{CA0F0EF6-12AD-114F-A838-936983EF8980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50" authorId="0" shapeId="0" xr:uid="{64CB3E2D-82CC-B349-BA98-F2B17B25CE79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51" authorId="0" shapeId="0" xr:uid="{00000000-0006-0000-0700-00004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51" authorId="1" shapeId="0" xr:uid="{F00A4E7B-1A08-9B4D-B5EE-5033CC866B4B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51" authorId="0" shapeId="0" xr:uid="{1B8EAD39-2C02-7D41-8432-BBAB201CC261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53" authorId="0" shapeId="0" xr:uid="{00000000-0006-0000-0700-00004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53" authorId="1" shapeId="0" xr:uid="{36226E81-442C-A540-9E5C-E66E55893C65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53" authorId="0" shapeId="0" xr:uid="{850AE99A-487B-8740-94F5-1B8AC8C35300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54" authorId="0" shapeId="0" xr:uid="{00000000-0006-0000-0700-00004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54" authorId="1" shapeId="0" xr:uid="{D4C5B0D7-7AF4-4643-A975-DF7119B64DF7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54" authorId="0" shapeId="0" xr:uid="{02BD75C6-60B1-9F40-9DB8-243C69778132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55" authorId="0" shapeId="0" xr:uid="{00000000-0006-0000-0700-00004A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55" authorId="1" shapeId="0" xr:uid="{5118A0B8-055E-7840-BA07-BB1A0BA2F190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55" authorId="0" shapeId="0" xr:uid="{E08C8AFC-D785-C042-9B5B-C7B8FDBB25CA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56" authorId="0" shapeId="0" xr:uid="{00000000-0006-0000-0700-00004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56" authorId="1" shapeId="0" xr:uid="{BFD96C79-60C5-3545-9CDA-C8A40371764B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56" authorId="0" shapeId="0" xr:uid="{EB41102C-C77C-034E-B6E7-207A4A879AAE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57" authorId="0" shapeId="0" xr:uid="{00000000-0006-0000-0700-00004E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57" authorId="1" shapeId="0" xr:uid="{48D51877-6491-C14F-B1DE-F4C3E07E1536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57" authorId="0" shapeId="0" xr:uid="{F2437951-A885-1949-A0DD-AB4B492CCCAF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  <comment ref="J58" authorId="0" shapeId="0" xr:uid="{00000000-0006-0000-0700-000050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K58" authorId="1" shapeId="0" xr:uid="{FBC105B9-8943-DE47-B4AF-A9251EA45393}">
      <text>
        <r>
          <rPr>
            <sz val="10"/>
            <color rgb="FF000000"/>
            <rFont val="Calibri"/>
            <family val="2"/>
          </rPr>
          <t xml:space="preserve">Fehlermeldung
</t>
        </r>
      </text>
    </comment>
    <comment ref="O58" authorId="0" shapeId="0" xr:uid="{795E6A4F-5680-A043-AAE4-3FDD6DAE7F96}">
      <text>
        <r>
          <rPr>
            <sz val="10"/>
            <color rgb="FF000000"/>
            <rFont val="Tahoma"/>
            <family val="2"/>
          </rPr>
          <t xml:space="preserve">Fehlermeldung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  <author>Microsoft Office-Anwender</author>
  </authors>
  <commentList>
    <comment ref="B11" authorId="0" shapeId="0" xr:uid="{00000000-0006-0000-0800-000001000000}">
      <text>
        <r>
          <rPr>
            <sz val="9"/>
            <color rgb="FF000000"/>
            <rFont val="Arial"/>
            <family val="2"/>
          </rPr>
          <t>Drop Down Menü aus Formular F00 Konfiguration</t>
        </r>
      </text>
    </comment>
    <comment ref="C11" authorId="1" shapeId="0" xr:uid="{00000000-0006-0000-0800-000002000000}">
      <text>
        <r>
          <rPr>
            <sz val="10"/>
            <color rgb="FF000000"/>
            <rFont val="Calibri"/>
            <family val="2"/>
          </rPr>
          <t>Drop Down Menü aus Formular F00 Konfiguration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 Lengwiler</author>
    <author>Microsoft Office-Anwender</author>
  </authors>
  <commentList>
    <comment ref="D9" authorId="0" shapeId="0" xr:uid="{AF3B8AAE-D61C-EA4B-8B3D-429F9C64FDC4}">
      <text>
        <r>
          <rPr>
            <sz val="8"/>
            <color rgb="FF000000"/>
            <rFont val="Arial"/>
            <family val="34"/>
          </rPr>
          <t>Wenn Investition eine Spezialfinanzierung betrifft, bitte ein S eintragen</t>
        </r>
      </text>
    </comment>
    <comment ref="H9" authorId="0" shapeId="0" xr:uid="{CD4702C2-B8A9-6441-A3CF-E87595DB1BDB}">
      <text>
        <r>
          <rPr>
            <sz val="8"/>
            <color rgb="FF000000"/>
            <rFont val="Arial"/>
            <family val="34"/>
          </rPr>
          <t>Wenn kein Jahr eingeben, erfolgt Abschreibung ab dem Folgejahr, sonst ab dem Jahr der angegebenen Betriebsaufnahme</t>
        </r>
      </text>
    </comment>
    <comment ref="AE9" authorId="1" shapeId="0" xr:uid="{00000000-0006-0000-0900-000001000000}">
      <text>
        <r>
          <rPr>
            <sz val="10"/>
            <color rgb="FF000000"/>
            <rFont val="Calibri"/>
            <family val="2"/>
          </rPr>
          <t>Index wird benötigt für Zusammenzüge auf Zeilen 10 (=F) und 11 (=T), also keinesfalls löschen...</t>
        </r>
      </text>
    </comment>
    <comment ref="A20" authorId="0" shapeId="0" xr:uid="{00000000-0006-0000-0900-00000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20" authorId="0" shapeId="0" xr:uid="{00000000-0006-0000-0900-00000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W20" authorId="1" shapeId="0" xr:uid="{00000000-0006-0000-0900-000004000000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21" authorId="0" shapeId="0" xr:uid="{00000000-0006-0000-0900-000005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21" authorId="0" shapeId="0" xr:uid="{9EEF60EF-28A4-7B45-AF08-E6C94F5F19A5}">
      <text>
        <r>
          <rPr>
            <sz val="9"/>
            <color rgb="FF000000"/>
            <rFont val="Arial"/>
            <family val="2"/>
          </rPr>
          <t>Fehlermeldung</t>
        </r>
      </text>
    </comment>
    <comment ref="W21" authorId="1" shapeId="0" xr:uid="{D7A3351D-C564-3E48-A7DA-DB6BDDD9889C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22" authorId="0" shapeId="0" xr:uid="{00000000-0006-0000-0900-00000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22" authorId="0" shapeId="0" xr:uid="{23203585-90DB-E443-BC7F-A00487C001B6}">
      <text>
        <r>
          <rPr>
            <sz val="9"/>
            <color rgb="FF000000"/>
            <rFont val="Arial"/>
            <family val="2"/>
          </rPr>
          <t>Fehlermeldung</t>
        </r>
      </text>
    </comment>
    <comment ref="W22" authorId="1" shapeId="0" xr:uid="{B78270F3-D6D8-524A-971B-2A9AA4204E72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23" authorId="0" shapeId="0" xr:uid="{00000000-0006-0000-0900-00000B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23" authorId="0" shapeId="0" xr:uid="{D549A756-7906-824E-9B7B-B1D3E9A48FE9}">
      <text>
        <r>
          <rPr>
            <sz val="9"/>
            <color rgb="FF000000"/>
            <rFont val="Arial"/>
            <family val="2"/>
          </rPr>
          <t>Fehlermeldung</t>
        </r>
      </text>
    </comment>
    <comment ref="W23" authorId="1" shapeId="0" xr:uid="{49D8780F-B6FA-424D-AA65-2C4D66BC550C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24" authorId="0" shapeId="0" xr:uid="{00000000-0006-0000-0900-00000E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24" authorId="0" shapeId="0" xr:uid="{D01DD84B-B484-FF4F-A248-1C15924C1726}">
      <text>
        <r>
          <rPr>
            <sz val="9"/>
            <color rgb="FF000000"/>
            <rFont val="Arial"/>
            <family val="2"/>
          </rPr>
          <t>Fehlermeldung</t>
        </r>
      </text>
    </comment>
    <comment ref="W24" authorId="1" shapeId="0" xr:uid="{33027383-6F3D-BD43-837C-7412157AFCD5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25" authorId="0" shapeId="0" xr:uid="{00000000-0006-0000-0900-000011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25" authorId="0" shapeId="0" xr:uid="{B2F2C14F-8DB7-6147-A3C8-0164789B6ECE}">
      <text>
        <r>
          <rPr>
            <sz val="9"/>
            <color rgb="FF000000"/>
            <rFont val="Arial"/>
            <family val="2"/>
          </rPr>
          <t>Fehlermeldung</t>
        </r>
      </text>
    </comment>
    <comment ref="W25" authorId="1" shapeId="0" xr:uid="{64FAC546-C81F-CA46-B75F-52308B78C512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30" authorId="0" shapeId="0" xr:uid="{00000000-0006-0000-0900-000014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30" authorId="0" shapeId="0" xr:uid="{ECB55EBB-7809-3341-9741-79C725A726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W30" authorId="1" shapeId="0" xr:uid="{E9050945-931E-324F-B26B-675BEB4EB0A8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31" authorId="0" shapeId="0" xr:uid="{00000000-0006-0000-0900-00001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31" authorId="0" shapeId="0" xr:uid="{BB7B654F-AC17-7742-954B-65D68A563ED9}">
      <text>
        <r>
          <rPr>
            <sz val="9"/>
            <color rgb="FF000000"/>
            <rFont val="Arial"/>
            <family val="2"/>
          </rPr>
          <t>Fehlermeldung</t>
        </r>
      </text>
    </comment>
    <comment ref="W31" authorId="1" shapeId="0" xr:uid="{5293973D-12E7-294C-9A8C-74A37DCF8CDF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32" authorId="0" shapeId="0" xr:uid="{00000000-0006-0000-0900-00001A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32" authorId="0" shapeId="0" xr:uid="{ECB86D6C-F5CF-C647-A09B-F98EEA28AC6B}">
      <text>
        <r>
          <rPr>
            <sz val="9"/>
            <color rgb="FF000000"/>
            <rFont val="Arial"/>
            <family val="2"/>
          </rPr>
          <t>Fehlermeldung</t>
        </r>
      </text>
    </comment>
    <comment ref="W32" authorId="1" shapeId="0" xr:uid="{FC3B79E9-7E61-964D-B15C-57FA2EBB9213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33" authorId="0" shapeId="0" xr:uid="{00000000-0006-0000-0900-00001D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33" authorId="0" shapeId="0" xr:uid="{5AA7966A-467A-8C41-A031-7FD83384308D}">
      <text>
        <r>
          <rPr>
            <sz val="9"/>
            <color rgb="FF000000"/>
            <rFont val="Arial"/>
            <family val="2"/>
          </rPr>
          <t>Fehlermeldung</t>
        </r>
      </text>
    </comment>
    <comment ref="W33" authorId="1" shapeId="0" xr:uid="{FFAA42B4-25BB-7B40-8D11-2C8EB296B3A8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P34" authorId="0" shapeId="0" xr:uid="{E4F3C31E-1BAF-4A51-A96D-B1EFF81C0667}">
      <text>
        <r>
          <rPr>
            <sz val="9"/>
            <color rgb="FF000000"/>
            <rFont val="Arial"/>
            <family val="2"/>
          </rPr>
          <t>Fehlermeldung</t>
        </r>
      </text>
    </comment>
    <comment ref="W34" authorId="1" shapeId="0" xr:uid="{E8B0059D-8885-4657-A6BA-F503D6DF9925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35" authorId="0" shapeId="0" xr:uid="{00000000-0006-0000-0900-000020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35" authorId="0" shapeId="0" xr:uid="{ED1BB66C-597C-8D45-9EF0-6C7525F3509C}">
      <text>
        <r>
          <rPr>
            <sz val="9"/>
            <color rgb="FF000000"/>
            <rFont val="Arial"/>
            <family val="2"/>
          </rPr>
          <t>Fehlermeldung</t>
        </r>
      </text>
    </comment>
    <comment ref="W35" authorId="1" shapeId="0" xr:uid="{C9BCAFFD-C2A4-CE4D-B37F-857402B86C56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36" authorId="0" shapeId="0" xr:uid="{00000000-0006-0000-0900-00002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36" authorId="0" shapeId="0" xr:uid="{55591339-7F4F-E945-ACF4-23ECCF9AB66E}">
      <text>
        <r>
          <rPr>
            <sz val="9"/>
            <color rgb="FF000000"/>
            <rFont val="Arial"/>
            <family val="2"/>
          </rPr>
          <t>Fehlermeldung</t>
        </r>
      </text>
    </comment>
    <comment ref="W36" authorId="1" shapeId="0" xr:uid="{DC4D0841-628A-4E41-A3A7-E7FCF7D47D4A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41" authorId="0" shapeId="0" xr:uid="{00000000-0006-0000-0900-00002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41" authorId="0" shapeId="0" xr:uid="{69BD7F20-3939-9E44-810B-C2E5FE9D9913}">
      <text>
        <r>
          <rPr>
            <sz val="9"/>
            <color rgb="FF000000"/>
            <rFont val="Arial"/>
            <family val="2"/>
          </rPr>
          <t>Fehlermeldung</t>
        </r>
      </text>
    </comment>
    <comment ref="W41" authorId="1" shapeId="0" xr:uid="{F09DF843-F004-694D-9281-3AAF3E8933E2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42" authorId="0" shapeId="0" xr:uid="{00000000-0006-0000-0900-000032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42" authorId="0" shapeId="0" xr:uid="{0D83F5F3-F22C-104F-8ED6-A0C27C700D7C}">
      <text>
        <r>
          <rPr>
            <sz val="9"/>
            <color rgb="FF000000"/>
            <rFont val="Arial"/>
            <family val="2"/>
          </rPr>
          <t>Fehlermeldung</t>
        </r>
      </text>
    </comment>
    <comment ref="W42" authorId="1" shapeId="0" xr:uid="{8B02DA32-CCAE-254B-87C1-AE5E1195F037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43" authorId="0" shapeId="0" xr:uid="{00000000-0006-0000-0900-000035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43" authorId="0" shapeId="0" xr:uid="{5EC1DDD0-6243-9940-968C-E1680C61D6AA}">
      <text>
        <r>
          <rPr>
            <sz val="9"/>
            <color rgb="FF000000"/>
            <rFont val="Arial"/>
            <family val="2"/>
          </rPr>
          <t>Fehlermeldung</t>
        </r>
      </text>
    </comment>
    <comment ref="W43" authorId="1" shapeId="0" xr:uid="{550E1271-8E83-094D-90AD-8C73494F7488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48" authorId="0" shapeId="0" xr:uid="{00000000-0006-0000-0900-000038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48" authorId="0" shapeId="0" xr:uid="{612147A6-9605-6746-A7D2-337C5AF1E7F3}">
      <text>
        <r>
          <rPr>
            <sz val="9"/>
            <color rgb="FF000000"/>
            <rFont val="Arial"/>
            <family val="2"/>
          </rPr>
          <t>Fehlermeldung</t>
        </r>
      </text>
    </comment>
    <comment ref="W48" authorId="1" shapeId="0" xr:uid="{C58CD842-8DDA-1142-ADAC-9F7DEC39A9E1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49" authorId="0" shapeId="0" xr:uid="{00000000-0006-0000-0900-00003B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49" authorId="0" shapeId="0" xr:uid="{5D433D2D-1372-AB43-9519-49EA88EF2308}">
      <text>
        <r>
          <rPr>
            <sz val="9"/>
            <color rgb="FF000000"/>
            <rFont val="Arial"/>
            <family val="2"/>
          </rPr>
          <t>Fehlermeldung</t>
        </r>
      </text>
    </comment>
    <comment ref="W49" authorId="1" shapeId="0" xr:uid="{A9877DD9-26BE-1E40-8F23-02907DD172FD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50" authorId="0" shapeId="0" xr:uid="{00000000-0006-0000-0900-00003E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50" authorId="0" shapeId="0" xr:uid="{8CE9A9BD-B90A-5746-94CF-6FFFB920330E}">
      <text>
        <r>
          <rPr>
            <sz val="9"/>
            <color rgb="FF000000"/>
            <rFont val="Arial"/>
            <family val="2"/>
          </rPr>
          <t>Fehlermeldung</t>
        </r>
      </text>
    </comment>
    <comment ref="W50" authorId="1" shapeId="0" xr:uid="{06A8FD24-77B9-8641-B9A2-A6097FA8C802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51" authorId="0" shapeId="0" xr:uid="{00000000-0006-0000-0900-000047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51" authorId="0" shapeId="0" xr:uid="{157399D8-DAD7-1843-805F-7CE54258F626}">
      <text>
        <r>
          <rPr>
            <sz val="9"/>
            <color rgb="FF000000"/>
            <rFont val="Arial"/>
            <family val="2"/>
          </rPr>
          <t>Fehlermeldung</t>
        </r>
      </text>
    </comment>
    <comment ref="W51" authorId="1" shapeId="0" xr:uid="{3D9C8AD3-2491-A841-AAE0-DC954461326A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56" authorId="0" shapeId="0" xr:uid="{00000000-0006-0000-0900-00004A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56" authorId="0" shapeId="0" xr:uid="{CEC1546D-A169-5849-8D52-9AFCA063573E}">
      <text>
        <r>
          <rPr>
            <sz val="9"/>
            <color rgb="FF000000"/>
            <rFont val="Arial"/>
            <family val="2"/>
          </rPr>
          <t>Fehlermeldung</t>
        </r>
      </text>
    </comment>
    <comment ref="W56" authorId="1" shapeId="0" xr:uid="{D85E3532-7BCE-2147-A121-245AA8EDCFF8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P57" authorId="0" shapeId="0" xr:uid="{CD26DE5F-447C-4B8D-846F-E1BE1796CF28}">
      <text>
        <r>
          <rPr>
            <sz val="9"/>
            <color rgb="FF000000"/>
            <rFont val="Arial"/>
            <family val="2"/>
          </rPr>
          <t>Fehlermeldung</t>
        </r>
      </text>
    </comment>
    <comment ref="P58" authorId="0" shapeId="0" xr:uid="{E03A1C0C-70E7-4708-A2BC-86B7DBA18BBE}">
      <text>
        <r>
          <rPr>
            <sz val="9"/>
            <color rgb="FF000000"/>
            <rFont val="Arial"/>
            <family val="2"/>
          </rPr>
          <t>Fehlermeldung</t>
        </r>
      </text>
    </comment>
    <comment ref="P59" authorId="0" shapeId="0" xr:uid="{72B592A2-EAA5-4BCF-8D57-42E44437EA8B}">
      <text>
        <r>
          <rPr>
            <sz val="9"/>
            <color rgb="FF000000"/>
            <rFont val="Arial"/>
            <family val="2"/>
          </rPr>
          <t>Fehlermeldung</t>
        </r>
      </text>
    </comment>
    <comment ref="A60" authorId="0" shapeId="0" xr:uid="{00000000-0006-0000-0900-000050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60" authorId="0" shapeId="0" xr:uid="{13E2FA7D-8E3D-2140-B4DD-7EE5FC87FE15}">
      <text>
        <r>
          <rPr>
            <sz val="9"/>
            <color rgb="FF000000"/>
            <rFont val="Arial"/>
            <family val="2"/>
          </rPr>
          <t>Fehlermeldung</t>
        </r>
      </text>
    </comment>
    <comment ref="W60" authorId="1" shapeId="0" xr:uid="{D20AE8EF-7BC0-084A-841E-55F7A1B962D2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61" authorId="0" shapeId="0" xr:uid="{00000000-0006-0000-0900-000053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61" authorId="0" shapeId="0" xr:uid="{35C3E242-1DDE-004F-8FA8-6B311347D394}">
      <text>
        <r>
          <rPr>
            <sz val="9"/>
            <color rgb="FF000000"/>
            <rFont val="Arial"/>
            <family val="2"/>
          </rPr>
          <t>Fehlermeldung</t>
        </r>
      </text>
    </comment>
    <comment ref="W61" authorId="1" shapeId="0" xr:uid="{C90FA3DA-A56E-8743-A70C-21FBC6F65D3A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P62" authorId="0" shapeId="0" xr:uid="{3FC07A8A-96AA-422D-A8A3-F801DCCAB277}">
      <text>
        <r>
          <rPr>
            <sz val="9"/>
            <color rgb="FF000000"/>
            <rFont val="Arial"/>
            <family val="2"/>
          </rPr>
          <t>Fehlermeldung</t>
        </r>
      </text>
    </comment>
    <comment ref="P63" authorId="0" shapeId="0" xr:uid="{22071E5E-DE23-400E-88AC-E891873189D3}">
      <text>
        <r>
          <rPr>
            <sz val="9"/>
            <color rgb="FF000000"/>
            <rFont val="Arial"/>
            <family val="2"/>
          </rPr>
          <t>Fehlermeldung</t>
        </r>
      </text>
    </comment>
    <comment ref="P64" authorId="0" shapeId="0" xr:uid="{D316A89A-F0D7-41AA-9F3D-F33E642E1C4B}">
      <text>
        <r>
          <rPr>
            <sz val="9"/>
            <color rgb="FF000000"/>
            <rFont val="Arial"/>
            <family val="2"/>
          </rPr>
          <t>Fehlermeldung</t>
        </r>
      </text>
    </comment>
    <comment ref="P65" authorId="0" shapeId="0" xr:uid="{3881B742-B946-4F05-92AE-178F59AD3406}">
      <text>
        <r>
          <rPr>
            <sz val="9"/>
            <color rgb="FF000000"/>
            <rFont val="Arial"/>
            <family val="2"/>
          </rPr>
          <t>Fehlermeldung</t>
        </r>
      </text>
    </comment>
    <comment ref="P66" authorId="0" shapeId="0" xr:uid="{1E6F45A5-73BC-44F3-9A78-A316F56F4F5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67" authorId="0" shapeId="0" xr:uid="{3FA6BD73-5A01-4C73-B77A-51F98A4C2B08}">
      <text>
        <r>
          <rPr>
            <sz val="9"/>
            <color rgb="FF000000"/>
            <rFont val="Arial"/>
            <family val="2"/>
          </rPr>
          <t>Fehlermeldung</t>
        </r>
      </text>
    </comment>
    <comment ref="P68" authorId="0" shapeId="0" xr:uid="{FD4A7A9E-568B-446B-9C47-110EFC00D52C}">
      <text>
        <r>
          <rPr>
            <sz val="9"/>
            <color rgb="FF000000"/>
            <rFont val="Arial"/>
            <family val="2"/>
          </rPr>
          <t>Fehlermeldung</t>
        </r>
      </text>
    </comment>
    <comment ref="P69" authorId="0" shapeId="0" xr:uid="{34952695-A732-4BAC-BF97-F2AF7D71A1C3}">
      <text>
        <r>
          <rPr>
            <sz val="9"/>
            <color rgb="FF000000"/>
            <rFont val="Arial"/>
            <family val="2"/>
          </rPr>
          <t>Fehlermeldung</t>
        </r>
      </text>
    </comment>
    <comment ref="P70" authorId="0" shapeId="0" xr:uid="{340D2F59-FD71-459D-B61D-B95D28C28FF9}">
      <text>
        <r>
          <rPr>
            <sz val="9"/>
            <color rgb="FF000000"/>
            <rFont val="Arial"/>
            <family val="2"/>
          </rPr>
          <t>Fehlermeldung</t>
        </r>
      </text>
    </comment>
    <comment ref="P71" authorId="0" shapeId="0" xr:uid="{D3A61ABF-C7CC-4124-908F-EE982EEE1A62}">
      <text>
        <r>
          <rPr>
            <sz val="9"/>
            <color rgb="FF000000"/>
            <rFont val="Arial"/>
            <family val="2"/>
          </rPr>
          <t>Fehlermeldung</t>
        </r>
      </text>
    </comment>
    <comment ref="P72" authorId="0" shapeId="0" xr:uid="{2BFCDB5F-1932-47CD-BB39-F1CC96773545}">
      <text>
        <r>
          <rPr>
            <sz val="9"/>
            <color rgb="FF000000"/>
            <rFont val="Arial"/>
            <family val="2"/>
          </rPr>
          <t>Fehlermeldung</t>
        </r>
      </text>
    </comment>
    <comment ref="P73" authorId="0" shapeId="0" xr:uid="{DE58D426-E3F5-45E6-905A-6AE970C3789D}">
      <text>
        <r>
          <rPr>
            <sz val="9"/>
            <color rgb="FF000000"/>
            <rFont val="Arial"/>
            <family val="2"/>
          </rPr>
          <t>Fehlermeldung</t>
        </r>
      </text>
    </comment>
    <comment ref="P74" authorId="0" shapeId="0" xr:uid="{B5D2DE8F-9246-41CD-87FF-459CCC5D486B}">
      <text>
        <r>
          <rPr>
            <sz val="9"/>
            <color rgb="FF000000"/>
            <rFont val="Arial"/>
            <family val="2"/>
          </rPr>
          <t>Fehlermeldung</t>
        </r>
      </text>
    </comment>
    <comment ref="P75" authorId="0" shapeId="0" xr:uid="{0FFD799E-A96C-487F-BBC9-D081B2DD9E84}">
      <text>
        <r>
          <rPr>
            <sz val="9"/>
            <color rgb="FF000000"/>
            <rFont val="Arial"/>
            <family val="2"/>
          </rPr>
          <t>Fehlermeldung</t>
        </r>
      </text>
    </comment>
    <comment ref="P76" authorId="0" shapeId="0" xr:uid="{3C1F8A70-E528-446F-B7C8-13A5055AEDB1}">
      <text>
        <r>
          <rPr>
            <sz val="9"/>
            <color rgb="FF000000"/>
            <rFont val="Arial"/>
            <family val="2"/>
          </rPr>
          <t>Fehlermeldung</t>
        </r>
      </text>
    </comment>
    <comment ref="P77" authorId="0" shapeId="0" xr:uid="{9BC50A06-4EA0-4759-B258-8B5E2F952A51}">
      <text>
        <r>
          <rPr>
            <sz val="9"/>
            <color rgb="FF000000"/>
            <rFont val="Arial"/>
            <family val="2"/>
          </rPr>
          <t>Fehlermeldung</t>
        </r>
      </text>
    </comment>
    <comment ref="A78" authorId="0" shapeId="0" xr:uid="{00000000-0006-0000-0900-000056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78" authorId="0" shapeId="0" xr:uid="{0009F1BF-D06D-6748-A833-EDB07DD158A7}">
      <text>
        <r>
          <rPr>
            <sz val="9"/>
            <color rgb="FF000000"/>
            <rFont val="Arial"/>
            <family val="2"/>
          </rPr>
          <t>Fehlermeldung</t>
        </r>
      </text>
    </comment>
    <comment ref="W78" authorId="1" shapeId="0" xr:uid="{9F32A258-971C-3243-843F-3F5ADB38B21D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79" authorId="0" shapeId="0" xr:uid="{00000000-0006-0000-0900-000059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79" authorId="0" shapeId="0" xr:uid="{2E9D634E-EB79-D244-A250-498025CCCB0B}">
      <text>
        <r>
          <rPr>
            <sz val="9"/>
            <color rgb="FF000000"/>
            <rFont val="Arial"/>
            <family val="2"/>
          </rPr>
          <t>Fehlermeldung</t>
        </r>
      </text>
    </comment>
    <comment ref="W79" authorId="1" shapeId="0" xr:uid="{2D6ABFAB-3C56-EF4B-9C09-85BAE2B5C95A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84" authorId="0" shapeId="0" xr:uid="{00000000-0006-0000-0900-00005C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84" authorId="0" shapeId="0" xr:uid="{214B9518-AFEB-5448-9396-C2D7D8336357}">
      <text>
        <r>
          <rPr>
            <sz val="9"/>
            <color rgb="FF000000"/>
            <rFont val="Arial"/>
            <family val="2"/>
          </rPr>
          <t>Fehlermeldung</t>
        </r>
      </text>
    </comment>
    <comment ref="W84" authorId="1" shapeId="0" xr:uid="{60332C83-05CE-8744-8AE1-D8818938FC8F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  <comment ref="A85" authorId="0" shapeId="0" xr:uid="{00000000-0006-0000-0900-00006B000000}">
      <text>
        <r>
          <rPr>
            <sz val="9"/>
            <color rgb="FF000000"/>
            <rFont val="Arial"/>
            <family val="2"/>
          </rPr>
          <t>Fehlermeldung</t>
        </r>
      </text>
    </comment>
    <comment ref="P85" authorId="0" shapeId="0" xr:uid="{1F8B3B58-435D-D341-AF83-117B8008F117}">
      <text>
        <r>
          <rPr>
            <sz val="9"/>
            <color rgb="FF000000"/>
            <rFont val="Arial"/>
            <family val="2"/>
          </rPr>
          <t>Fehlermeldung</t>
        </r>
      </text>
    </comment>
    <comment ref="W85" authorId="1" shapeId="0" xr:uid="{15CFD463-90DD-9547-9FEE-5E477B96AB28}">
      <text>
        <r>
          <rPr>
            <b/>
            <sz val="10"/>
            <color rgb="FF000000"/>
            <rFont val="Calibri"/>
            <family val="2"/>
          </rPr>
          <t>Fehlermeldung</t>
        </r>
      </text>
    </comment>
  </commentList>
</comments>
</file>

<file path=xl/sharedStrings.xml><?xml version="1.0" encoding="utf-8"?>
<sst xmlns="http://schemas.openxmlformats.org/spreadsheetml/2006/main" count="939" uniqueCount="437">
  <si>
    <t>max.</t>
  </si>
  <si>
    <t>Rückzahlung von Darlehen und Krediten</t>
  </si>
  <si>
    <t>in 1'000 Franken</t>
  </si>
  <si>
    <t>Investitionsvorhaben</t>
  </si>
  <si>
    <t>Wachstum der ständigen Wohnbevölkerung</t>
    <phoneticPr fontId="2" type="noConversion"/>
  </si>
  <si>
    <t>später</t>
  </si>
  <si>
    <t>Kantonales Mittel der Nettoschuld</t>
  </si>
  <si>
    <t>Neuaufnahme zinsloser Darlehen</t>
  </si>
  <si>
    <t>- Entlastung Zinsaufwand / + Mehrbelastung Zinsaufwand</t>
  </si>
  <si>
    <t>© Prof. Dr. Christoph Lengwiler</t>
    <phoneticPr fontId="2" type="noConversion"/>
  </si>
  <si>
    <t>Ergebnis Laufende Rechnung in Steuereinheiten</t>
  </si>
  <si>
    <t>Kapitaldienstanteil</t>
  </si>
  <si>
    <t>Veränderungen Anlagen im Finanzvermögen</t>
  </si>
  <si>
    <t>Finanzausgleichszahlungen Total (Netto)</t>
  </si>
  <si>
    <t>Achtung: Tabelle nicht löschen!</t>
  </si>
  <si>
    <t>Ständige Wohnbevölkerung Ende Jahr</t>
    <phoneticPr fontId="2" type="noConversion"/>
  </si>
  <si>
    <t>Passiven</t>
  </si>
  <si>
    <t>Grenzwerte</t>
  </si>
  <si>
    <t>Regalien und Konzessionen</t>
  </si>
  <si>
    <t>Entgelte</t>
  </si>
  <si>
    <t>Gemeinde</t>
  </si>
  <si>
    <t>Kennzahl</t>
  </si>
  <si>
    <t>Verwaltungsvermögen</t>
  </si>
  <si>
    <t>Aufwand</t>
  </si>
  <si>
    <t>Fremdkapital</t>
  </si>
  <si>
    <t>Durchlaufende Beiträge</t>
  </si>
  <si>
    <t xml:space="preserve">  Finanzplanjahre</t>
  </si>
  <si>
    <t>Beispiel</t>
  </si>
  <si>
    <t>Bildung</t>
  </si>
  <si>
    <t>Personalaufwand</t>
  </si>
  <si>
    <t>Zinssätze (für Neukredite)</t>
  </si>
  <si>
    <t>Kanton</t>
  </si>
  <si>
    <t>Budget</t>
  </si>
  <si>
    <t>Selbstfinanzierungsanteil</t>
  </si>
  <si>
    <t>Ertrag</t>
  </si>
  <si>
    <t>Veränderung des Nettozinsaufwandes</t>
  </si>
  <si>
    <t>Nettoinvestitionen ins Finanzvermögen</t>
  </si>
  <si>
    <t>R.-Jahr</t>
  </si>
  <si>
    <t>Total</t>
  </si>
  <si>
    <t>Rechng</t>
  </si>
  <si>
    <t>Investitionsausgaben</t>
  </si>
  <si>
    <t>Investitionseinnahmen</t>
  </si>
  <si>
    <t>Grenzwert</t>
  </si>
  <si>
    <t>Aktiven</t>
  </si>
  <si>
    <t>Finanzvermögen</t>
  </si>
  <si>
    <t>Vorsicht beim Löschen einzelner Zeilen. Zeile mit Total in der</t>
  </si>
  <si>
    <t>Hilfstabelle muss bestehen bleiben! Bei Einfügen neuer Zeilen muss</t>
  </si>
  <si>
    <t xml:space="preserve">ganze Zeile einfügen und dann bitte Addition im Total bei der </t>
  </si>
  <si>
    <t>Hilfszeile überprüfen.</t>
  </si>
  <si>
    <t>Hilfstabelle ab Spalte Z nicht löschen oder abändern!</t>
  </si>
  <si>
    <t>Durchschnittswerte</t>
  </si>
  <si>
    <t>Ergebnis Laufenden Rechnung (vor Abschluss)</t>
  </si>
  <si>
    <t>Auflösung von Anlagen des Finanzvermögens (zum Buchwert, realisierte Buchgewinne vgl. Form 3)</t>
  </si>
  <si>
    <t>Veränderung der Kreditpositionen</t>
  </si>
  <si>
    <t>h.</t>
  </si>
  <si>
    <t>Eingabe Einflussfaktoren / Plangrössen</t>
  </si>
  <si>
    <t>Steuerfuss</t>
  </si>
  <si>
    <t xml:space="preserve"> </t>
  </si>
  <si>
    <t>Eigenkapital Ende Jahr (nach Abschluss)</t>
  </si>
  <si>
    <t>ND*</t>
  </si>
  <si>
    <t>Investitionsbeiträge</t>
  </si>
  <si>
    <t>Kapitaldienst (Nettozinsaufwand + ord. Abschr)</t>
  </si>
  <si>
    <t>Nettoinvestitionen ins Verwaltungsvermögen</t>
  </si>
  <si>
    <t>Ergebnis Laufende Rechnung kumuliert</t>
  </si>
  <si>
    <t>min. *</t>
  </si>
  <si>
    <t>Neuanlagen in das Finanzvermögen</t>
  </si>
  <si>
    <t>satz*</t>
  </si>
  <si>
    <t>* Bitte in dieser Spalte den Zinssatz in % angeben, zu dem der auslaufende Kredit oder die Anlage im Finanzvermögen verzinst wird.</t>
  </si>
  <si>
    <t>1. Finanzplanjahr</t>
  </si>
  <si>
    <t>im Folgejahr durch Neuverschuldung</t>
  </si>
  <si>
    <t>Selbstfinanzierungsgrad</t>
  </si>
  <si>
    <t>a.</t>
  </si>
  <si>
    <t>b.</t>
  </si>
  <si>
    <t>c.</t>
  </si>
  <si>
    <t>d.</t>
  </si>
  <si>
    <t>e.</t>
  </si>
  <si>
    <t>f.</t>
  </si>
  <si>
    <t>g.</t>
  </si>
  <si>
    <t>Zins-</t>
  </si>
  <si>
    <t>Ständige Wohnbevölkerung</t>
  </si>
  <si>
    <t>Interne Verrechnungen</t>
  </si>
  <si>
    <t>Besitz- und Aufwandsteuern</t>
  </si>
  <si>
    <t xml:space="preserve">Sämtliche Auswirkungen der Aufgabenplanung, inklusive deren Folgekosten, sowie weitere Änderungen im Umfang </t>
  </si>
  <si>
    <t xml:space="preserve">* Nutzungsdauer in Jahren              </t>
  </si>
  <si>
    <t>**</t>
  </si>
  <si>
    <t>Sach- und übriger Betriebsaufwand</t>
  </si>
  <si>
    <t>Abschreibungen Verwaltungsvermögen</t>
  </si>
  <si>
    <t>Finanzaufwand</t>
  </si>
  <si>
    <t>Transferaufwand</t>
  </si>
  <si>
    <t>Ausserordentlicher Aufwand</t>
  </si>
  <si>
    <t>Fiskalertrag</t>
  </si>
  <si>
    <t>Direkte Steuern natürliche Personen</t>
  </si>
  <si>
    <t>Direkte Steuern juristische Personen</t>
  </si>
  <si>
    <t>Übrige direkte Steuern</t>
  </si>
  <si>
    <t>Verschiedene Erträge</t>
  </si>
  <si>
    <t>Finanzertrag</t>
  </si>
  <si>
    <t>Entnahmen aus Fonds / Spezfin FK</t>
  </si>
  <si>
    <t>Ausserordentlicher Ertrag</t>
  </si>
  <si>
    <t>Transferertrag</t>
  </si>
  <si>
    <t>Total Ertrag</t>
  </si>
  <si>
    <t>Total Aufwand</t>
  </si>
  <si>
    <t>Mehrertrag</t>
  </si>
  <si>
    <t>Mehraufwand</t>
  </si>
  <si>
    <t>Spezialfinanzierungen EK</t>
  </si>
  <si>
    <t>Fonds EK</t>
  </si>
  <si>
    <t>Übriges Eigenkapital</t>
  </si>
  <si>
    <t>TOTAL</t>
  </si>
  <si>
    <t>Flüssige Mittel</t>
  </si>
  <si>
    <t>Sachanlagen</t>
  </si>
  <si>
    <t>Immaterielle Anlagen</t>
  </si>
  <si>
    <t>Darlehen</t>
  </si>
  <si>
    <t>Eigenkapital</t>
  </si>
  <si>
    <t>Aufwertungsreserve VV</t>
  </si>
  <si>
    <t>Bilanzüberschuss/-fehlbetrag</t>
  </si>
  <si>
    <t>Forderungen</t>
  </si>
  <si>
    <t>Kurzfristige Finanzanlagen</t>
  </si>
  <si>
    <t>Aktive Rechnungsabgrenzungen</t>
  </si>
  <si>
    <t>Vorräte und angefangene Arbeiten</t>
  </si>
  <si>
    <t>Finanzanlagen</t>
  </si>
  <si>
    <t>Forderungen Spezfin / Fonds FK</t>
  </si>
  <si>
    <t>Kurzfristige Finanzverbindlichkeiten</t>
  </si>
  <si>
    <t>Passive Rechnungsabgrenzungen</t>
  </si>
  <si>
    <t>Kurzfristige Rückstellungen</t>
  </si>
  <si>
    <t>Langfristige Finanzverbindlichkeiten</t>
  </si>
  <si>
    <t>Langfristige Rückstellungen</t>
  </si>
  <si>
    <t>Verbindlichkeiten Spezfin / Fonds FK</t>
  </si>
  <si>
    <t>Laufende Verbindlichkeiten</t>
  </si>
  <si>
    <t>Global-</t>
  </si>
  <si>
    <t>budget</t>
  </si>
  <si>
    <t>Konto-</t>
  </si>
  <si>
    <t>Formular 4: Abschreibungen</t>
  </si>
  <si>
    <t>Beteiligungen und Grundkapitalien</t>
  </si>
  <si>
    <t>davon Kalk. Zinsen und Finanzaufwand</t>
  </si>
  <si>
    <t>Rückerstattungen</t>
  </si>
  <si>
    <t>Übertragung Sachanlagen ins FV</t>
  </si>
  <si>
    <t>Ø Veränderung Personalaufwand (30)</t>
  </si>
  <si>
    <t>Ø Teuerung Sach- und Betriebsaufwand (31)</t>
  </si>
  <si>
    <t>Ø Veränderung Entgelte (42)</t>
  </si>
  <si>
    <t>Ø Veränderung Transferleistungen (36/46)</t>
  </si>
  <si>
    <r>
      <t>Wachstum der</t>
    </r>
    <r>
      <rPr>
        <sz val="8"/>
        <rFont val="Univers Extended"/>
        <family val="2"/>
      </rPr>
      <t xml:space="preserve"> Ø </t>
    </r>
    <r>
      <rPr>
        <sz val="8"/>
        <rFont val="Arial"/>
        <family val="2"/>
      </rPr>
      <t>Steuerkraft natürliche Personen</t>
    </r>
  </si>
  <si>
    <t>Übrige Direkte Steuern</t>
  </si>
  <si>
    <t>4022    Grundstückgewinnsteuern</t>
  </si>
  <si>
    <t>4023    Handänderungssteuern</t>
  </si>
  <si>
    <t>4024    Erbschafts- und Schenkungssteuern</t>
  </si>
  <si>
    <t>Einflussfaktoren auf Steuereinnahmen</t>
  </si>
  <si>
    <t>Prognose übrige direkten Steuern</t>
  </si>
  <si>
    <t>Zusammenzug Total</t>
  </si>
  <si>
    <t>Formular 4: Auswirkungen der Aufgabenplanung auf Investitionen, Abschreibungen und Verwaltungsvermögen</t>
  </si>
  <si>
    <t xml:space="preserve">  Geplante Investitionen</t>
  </si>
  <si>
    <t>Prognose Verwaltungsvermögen (Ende Jahr)</t>
  </si>
  <si>
    <t>Prognose Finanzausgleich</t>
  </si>
  <si>
    <t>davon Kalk. Zinsen und Finanzertrag</t>
  </si>
  <si>
    <t>Budgets und Prognose für fünf Finanzplanungsjahre</t>
  </si>
  <si>
    <t>Global-
budget</t>
  </si>
  <si>
    <t>Abschreibungen auf geplanten Investitionen VV</t>
  </si>
  <si>
    <t>Nettoinvestitionen Verwaltungsvermögen</t>
  </si>
  <si>
    <t>Zinssatz für Neukredite (vgl F0a)</t>
  </si>
  <si>
    <t>Hinweise für Listen</t>
  </si>
  <si>
    <t>Kto
Nr.</t>
  </si>
  <si>
    <t>Konto Nummern Erfolgsrechnung</t>
  </si>
  <si>
    <t>Hinweis: Daten ==&gt; Gültigkeit ==&gt;Zulassen ==&gt; Liste ==&gt; Quelle</t>
  </si>
  <si>
    <t>Hochrechnung der Bilanz per Ende Jahr</t>
  </si>
  <si>
    <t>Sondersteuern</t>
  </si>
  <si>
    <t>4029    Eingang abgeschriebene Sondersteuern</t>
  </si>
  <si>
    <t>4621   Ressourcenausgleich</t>
  </si>
  <si>
    <t>Sachanlagen FV</t>
  </si>
  <si>
    <t>Sachanlagen VV</t>
  </si>
  <si>
    <t>Investitionen auf Rechnung Dritter</t>
  </si>
  <si>
    <t>Eigene Investitionsbeiträge</t>
  </si>
  <si>
    <t>Übertragung immaterielle Anlagen ins FV</t>
  </si>
  <si>
    <t>Investitionsbeiträge für eigene Rechnung</t>
  </si>
  <si>
    <t>Rückzahlung von Darlehen</t>
  </si>
  <si>
    <t>Übertragung von Beteiligungen</t>
  </si>
  <si>
    <t>Rückzahlung eigener Investitionsbeiträge</t>
  </si>
  <si>
    <t>davon horizontale Abschöpfung Finanzausgleich</t>
  </si>
  <si>
    <t>Interne Verrechnungen und Umlagen</t>
  </si>
  <si>
    <t>davon Finanzausgleich</t>
  </si>
  <si>
    <t>davon horizontale Abschöpfung</t>
  </si>
  <si>
    <t>Einlagen in Fonds / Spezialfinanzierungen</t>
  </si>
  <si>
    <t>4025    Nachkommenerbschaftssteuer</t>
  </si>
  <si>
    <t>4622   Lastenausgleich</t>
  </si>
  <si>
    <t>4623   Besitzstandwahrung</t>
  </si>
  <si>
    <t>Nummer</t>
  </si>
  <si>
    <t>Bezeichnung</t>
  </si>
  <si>
    <t>Abkürzung</t>
  </si>
  <si>
    <t>Schule und Bildung</t>
  </si>
  <si>
    <t>Kommentar</t>
  </si>
  <si>
    <t>Jahresergebnis</t>
  </si>
  <si>
    <t>Veränderung Bilanzüberschuss</t>
  </si>
  <si>
    <t>Nutzungsdauer</t>
  </si>
  <si>
    <t>Jahre</t>
  </si>
  <si>
    <t>Investitionen</t>
  </si>
  <si>
    <t>Operativer Cashflow Erfolgsrechnung (NUV)</t>
  </si>
  <si>
    <t>Finanzierungsfehlbetrag (-) / -überschuss (+)</t>
  </si>
  <si>
    <t xml:space="preserve">Veränderung des Nettozinsaufwandes </t>
  </si>
  <si>
    <t>im Folgejahr durch Umschuldung</t>
  </si>
  <si>
    <t>im Folgejahr durch Veränderung Finanzvermögen</t>
  </si>
  <si>
    <r>
      <t>Bilanz</t>
    </r>
    <r>
      <rPr>
        <sz val="8"/>
        <rFont val="Arial"/>
        <family val="2"/>
      </rPr>
      <t>überschuss Ende Jahr</t>
    </r>
  </si>
  <si>
    <t>Jahren</t>
  </si>
  <si>
    <t>davon Fonds / Spezfin Fremdkapital</t>
  </si>
  <si>
    <t>davon Entnahmen  Aufwertungsreserven</t>
  </si>
  <si>
    <t>GB01</t>
  </si>
  <si>
    <t>Steuererträge</t>
  </si>
  <si>
    <t>Ertrag aus kalkulatorischen Zinsbelastungen</t>
  </si>
  <si>
    <t>davon Spezfinanzierungen Eigenkapital</t>
  </si>
  <si>
    <t>davon Fonds Eigenkapital</t>
  </si>
  <si>
    <t>34x</t>
  </si>
  <si>
    <t>44x</t>
  </si>
  <si>
    <t>davon andere einmalige / a.o. Erträge (z.B. 444, 449)</t>
  </si>
  <si>
    <t>davon realisierte Kursverluste</t>
  </si>
  <si>
    <t>davon einmaliger / a.o. Aufwand (344, ev. 343, 349)</t>
  </si>
  <si>
    <t>davon realisierte Gewinne Finanzvermögen</t>
  </si>
  <si>
    <t>In</t>
  </si>
  <si>
    <t>Betrieb</t>
  </si>
  <si>
    <t>ab Jahr</t>
  </si>
  <si>
    <t>T</t>
  </si>
  <si>
    <t>F</t>
  </si>
  <si>
    <t>Ende</t>
  </si>
  <si>
    <t>Spez</t>
  </si>
  <si>
    <t>Nr.</t>
  </si>
  <si>
    <t xml:space="preserve">Nr. </t>
  </si>
  <si>
    <t>2stellig</t>
  </si>
  <si>
    <t>Fin</t>
  </si>
  <si>
    <t>Belastung</t>
  </si>
  <si>
    <t>Gutschrift</t>
  </si>
  <si>
    <t>Veränderung gegenüber Budgetjahr</t>
  </si>
  <si>
    <t>Finanzausgleich</t>
  </si>
  <si>
    <t>realisierte Kursverlust</t>
  </si>
  <si>
    <t>Einlagen Fonds / Spezfin FK</t>
  </si>
  <si>
    <t>Einlagen Spezialfinanzierungen EK</t>
  </si>
  <si>
    <t>Einlagen Fonds EK</t>
  </si>
  <si>
    <t>Realisierte Gewinne Finanzvermögen</t>
  </si>
  <si>
    <t>anderer einmaliger / a.o. Aufwand</t>
  </si>
  <si>
    <t>anderer einmaliger / a.o. Ertrag</t>
  </si>
  <si>
    <t>Entnahmen Fonds / Spezfin FK</t>
  </si>
  <si>
    <t>Entnahmen Spezialfinanzierungen EK</t>
  </si>
  <si>
    <t>Entnahmen Fonds EK</t>
  </si>
  <si>
    <t>Kalk. Zinsen und Finanzertrag</t>
  </si>
  <si>
    <t>Finanz- und Lastenausgleich</t>
  </si>
  <si>
    <t>Kumuliert</t>
  </si>
  <si>
    <t>Zinsaufwand für Fremdkapital der Gemeinde</t>
  </si>
  <si>
    <t>Index</t>
  </si>
  <si>
    <t>Selbstfinanzierung</t>
  </si>
  <si>
    <t>Laufender Ertrag</t>
  </si>
  <si>
    <t>Nettoverschuildungsquotient</t>
  </si>
  <si>
    <t>Fiskalertrag (inkl. Ressourcenausgleich)</t>
  </si>
  <si>
    <t>Nettoschuld ohne SF pro Einw.</t>
  </si>
  <si>
    <t>Nettoschuld pro Einwohnwer</t>
  </si>
  <si>
    <t>Bruttoverschuldungsanteil</t>
  </si>
  <si>
    <t>Bruttoverschuldung (approx.)</t>
  </si>
  <si>
    <r>
      <t xml:space="preserve">Formular 6: Kennzahlen </t>
    </r>
    <r>
      <rPr>
        <sz val="8"/>
        <rFont val="Arial"/>
        <family val="2"/>
      </rPr>
      <t>(können teilweise nur approximativ berechnet werden)</t>
    </r>
  </si>
  <si>
    <t>Zinsbelastungsanteil</t>
  </si>
  <si>
    <t>Kto</t>
  </si>
  <si>
    <t>Laufender Aufwand und Ertrag</t>
  </si>
  <si>
    <t>Total laufender Aufwand</t>
  </si>
  <si>
    <t>Total laufender Ertrag</t>
  </si>
  <si>
    <t>Investitionen und Änderungen</t>
  </si>
  <si>
    <t>ND</t>
  </si>
  <si>
    <t>Total Investitionen</t>
  </si>
  <si>
    <t>Änderungen bei Aufwand- bzw. Ertragsposition</t>
  </si>
  <si>
    <t>inkl. Folgekosten aus Investitionen</t>
  </si>
  <si>
    <t>Total Aufwand- (–) und Ertragsänderungen (+)</t>
  </si>
  <si>
    <t>Überschuss-/Defizitberechnung</t>
  </si>
  <si>
    <t>Abzuschreibendes Verwaltungsvermögen Anfang Jahr</t>
  </si>
  <si>
    <t>Guthaben Gemeinde aus Spezialfinanzierungen Anfang Jahr netto</t>
  </si>
  <si>
    <t>Verpflichtung Gemeinde für Spezialfinanzierung Anfang Jahr netto</t>
  </si>
  <si>
    <t>Zinssatz für Verzinsung der Guthaben/Verpflichtungen</t>
  </si>
  <si>
    <t>Laufender Ertrag (+)</t>
  </si>
  <si>
    <t>Laufender Aufwand (–)</t>
  </si>
  <si>
    <t>Saldo der Aufwands- und Ertragsänderungen</t>
  </si>
  <si>
    <t>ordentliche Abschreibungen inkl. Neuinvestitionen ins VV (–)</t>
  </si>
  <si>
    <t>Interne Verrechnungen und Umlagen (inkl. Zinsen)</t>
  </si>
  <si>
    <t>Erfolgsrechnung</t>
  </si>
  <si>
    <t>Bilanz</t>
  </si>
  <si>
    <t>Formular 8: Hochrechnung Spezialfinanzierung  (Hilfsformular, keine Verknüpfung mit Finanzplan!)</t>
  </si>
  <si>
    <r>
      <t xml:space="preserve">Überschuss </t>
    </r>
    <r>
      <rPr>
        <sz val="8"/>
        <rFont val="Arial"/>
        <family val="2"/>
      </rPr>
      <t>(Einlage in Spezialfinanzierung, in Form 5 Pos. 3510 eintragen)</t>
    </r>
  </si>
  <si>
    <r>
      <t xml:space="preserve">Defizit </t>
    </r>
    <r>
      <rPr>
        <sz val="8"/>
        <rFont val="Arial"/>
        <family val="2"/>
      </rPr>
      <t>(Entnahme aus Spezialfinanzierung, in Form 5 Pos. 4510 eintragen)</t>
    </r>
  </si>
  <si>
    <t>Ø Veränderung übriger Aufwand/Ertrag</t>
  </si>
  <si>
    <t>Zuordnung von  folgenden Positionen (bitte relevantes Globalbudget eintragen)</t>
  </si>
  <si>
    <t>Formular 0b:  Planungsgrössen und weitere Inputdaten (Steuern/Finanzausgleich)</t>
  </si>
  <si>
    <r>
      <t>Wachstum der</t>
    </r>
    <r>
      <rPr>
        <sz val="8"/>
        <rFont val="Univers Extended"/>
        <family val="2"/>
      </rPr>
      <t xml:space="preserve"> Ø </t>
    </r>
    <r>
      <rPr>
        <sz val="8"/>
        <rFont val="Arial"/>
        <family val="2"/>
      </rPr>
      <t>Steuerkraft juristische Personen</t>
    </r>
  </si>
  <si>
    <t>3621 Horizontale Abschöpfung</t>
  </si>
  <si>
    <t>Formular 1a: Erfassung der Ausgangslage für die  Bilanz</t>
  </si>
  <si>
    <t>Veränderung</t>
  </si>
  <si>
    <t xml:space="preserve">der Aufgabenerfüllung mit Auswirkungen auf die Erfolgsrechnung (ohne Zinsfolgen, Abschreibungen, Interne Verrechnungen). </t>
  </si>
  <si>
    <t>= S</t>
  </si>
  <si>
    <t>Formular 5:  Prognose Erfolgsrechnung</t>
  </si>
  <si>
    <t>Achtung:Wenn zusätzliche Einträge nötig sind, diese bitte in den</t>
  </si>
  <si>
    <t>gelben Feldern eingeben, sonst verändern sich Drop Down Menüs...</t>
  </si>
  <si>
    <t>Korrektur auslaufende Abschreibungen gegenüber Budgetjahr</t>
  </si>
  <si>
    <t>Andere Korrekturen Aufwand / Ertrag</t>
  </si>
  <si>
    <t>Veränderung Interne Verrechnung Zinsen auf Verwaltungsvermögen</t>
  </si>
  <si>
    <t>davon Legate und Stiftungen</t>
  </si>
  <si>
    <t>Entnahme Legate und Stiftungen</t>
  </si>
  <si>
    <t>Christoph Lengwiler, Legrafin GmbH, Amlehnhalde 14, 6010 Kriens, Tel 079 786 53 52, E-Mail: legrafin@bluewin.ch</t>
  </si>
  <si>
    <t>Steuerfuss Gemeinde</t>
  </si>
  <si>
    <t xml:space="preserve">Die Excel-Datei mit dem Finanzplanungstool darf nur mit Einwilligung von Christoph Lengwiler an Dritte ausserhalb der eigenen </t>
  </si>
  <si>
    <t>Gemeinde weitergegeben werden.</t>
  </si>
  <si>
    <t>Informationen / Kontakt:</t>
  </si>
  <si>
    <t>4624   Besondere Beiträge</t>
  </si>
  <si>
    <t xml:space="preserve">Falls sich die Veränderung auf mehrere Jahre bezieht, müssen die Zahlen in allen betreffenden Jahren eingetragen werden </t>
  </si>
  <si>
    <t>(+ = Mehraufwand/Minderertrag  //  – = Minderaufwand/Mehrertrag)</t>
  </si>
  <si>
    <t>Falls sich die Veränderung auf mehrere Jahre bezieht, müssen die Zahlen in allen betreffenden Jahren eingetragen werden.</t>
  </si>
  <si>
    <r>
      <t>Wesentliche Änderungen bei den internen Verrechnungen bzw. Umlagen (</t>
    </r>
    <r>
      <rPr>
        <b/>
        <sz val="8"/>
        <rFont val="Arial"/>
        <family val="2"/>
      </rPr>
      <t>ohne kalkulatorischen Zinsen</t>
    </r>
    <r>
      <rPr>
        <sz val="8"/>
        <rFont val="Arial"/>
        <family val="2"/>
      </rPr>
      <t>!) aufgrund der Finanz-</t>
    </r>
  </si>
  <si>
    <t>planung gegenüber dem neuen Budgetjahr. Belastungen erfolgen auf Konto 49 und die dazugehörigen Gutschriften auf Konto 39</t>
  </si>
  <si>
    <t>(+ = Zusätzliche Verrechnungen/Umlagen  //  – = Entfall bisheriger Verrechnungen/Umlagen)</t>
  </si>
  <si>
    <t>Nettoschuld Ende Jahr</t>
  </si>
  <si>
    <t>Veränderung der Nettoschuld kumuliert</t>
  </si>
  <si>
    <t>Finanzierungsfehlbetrag (+) / -überschuss (-)</t>
  </si>
  <si>
    <t>Finanzkennzahlen  (z.T. vereinfacht)</t>
  </si>
  <si>
    <t>Saldo Bilanzüberschuss nach Verbuchung Jahresergebnis</t>
  </si>
  <si>
    <t>innert</t>
  </si>
  <si>
    <t>Zwingend nötiges Jahresergebnis zwecks Abbau Bilanzfehlbetrag</t>
  </si>
  <si>
    <t>Inbetrieb-</t>
  </si>
  <si>
    <t>nahme</t>
  </si>
  <si>
    <t>Jahr</t>
  </si>
  <si>
    <t>Hilfstabelle Abschreibung (bitte nicht überschreiben)</t>
  </si>
  <si>
    <t>Veränderung Interne Verrechnung Zins Guthaben/Verpflichtung Spezfin</t>
  </si>
  <si>
    <t xml:space="preserve">    Legrafin GmbH</t>
  </si>
  <si>
    <t>Formular 2:  Hochrechnung Erfolgsrechnung (Basis neues Budgetjahr, Veränderungen aufgrund Planungsparametern)</t>
  </si>
  <si>
    <t>davon Abschreibung Investitionsbeiträge</t>
  </si>
  <si>
    <t>Abschreibungen (330, 332 + 366)</t>
  </si>
  <si>
    <t>Geplante Abschreibungen bisheriges VV (330, 332)</t>
  </si>
  <si>
    <t>Geplante Abschreibung Investitionsbeiträge (366)</t>
  </si>
  <si>
    <t>Abschreibung Investitionsbeiträge</t>
  </si>
  <si>
    <t xml:space="preserve">  Prognose Abschreibungen 330, 332 und 366 (kumuliert)</t>
  </si>
  <si>
    <t>* Kein Grenzwert bei Selbstfinanzierungsgrad und Selbstfinanzierungsanteil vorgegeben, wenn die Nettoschuld pro Einwohner in keinem Jahr über dem Kantonsdurchschnitt liegt.</t>
  </si>
  <si>
    <t>Dieses Blatt ist nicht mit dem Finanzplan verknüpft, es kann beliebig kopiert werden.</t>
  </si>
  <si>
    <t>Alle Zahlen müssen auch im Finanzplan eingegeben / enthalten sein</t>
  </si>
  <si>
    <t>Formular 0a:  Konfiguration Globalbudgets / Aufgabenbereiche</t>
  </si>
  <si>
    <t>Finanzplan</t>
  </si>
  <si>
    <t>Formular 5b:  Prognose Veränderung Erfolgsrechnung (Basis Budgetjahr)</t>
  </si>
  <si>
    <t>Formular 5c: Prognose Bilanz für die Finanzplanperiode</t>
  </si>
  <si>
    <t>Wird in Formular F5 Prognose ER erfasst</t>
  </si>
  <si>
    <t>Formular 4a: Zusammenzug Investitionen (nach Artengliederung)</t>
  </si>
  <si>
    <t>Buget</t>
  </si>
  <si>
    <t>Durchlaufende Investitionsbeiträge</t>
  </si>
  <si>
    <t>Investitionsausgaben (-)</t>
  </si>
  <si>
    <t>Übertragung von Sachanlagen in das Finanzvermögen</t>
  </si>
  <si>
    <t>Übertragung immaterielle Anlagen in das Finanzvermögen</t>
  </si>
  <si>
    <t>Übertragung von Beteiligungen in das Finanzvermögen</t>
  </si>
  <si>
    <t>Investitionseinnahmen (+)</t>
  </si>
  <si>
    <t>Nettoinvestitionen</t>
  </si>
  <si>
    <t>Davon  Spezialfinanzierungen</t>
  </si>
  <si>
    <t>Zusammenzug aus Formular 4</t>
  </si>
  <si>
    <t>Pos.</t>
  </si>
  <si>
    <t>Ertrag Finanzausgleich</t>
  </si>
  <si>
    <t>362     Aufwand Finanzausgleich</t>
  </si>
  <si>
    <t>4022.1 Mehrwertabschöpfung</t>
  </si>
  <si>
    <r>
      <t xml:space="preserve">4625   Beitrag </t>
    </r>
    <r>
      <rPr>
        <u/>
        <sz val="8"/>
        <rFont val="Arial"/>
        <family val="2"/>
      </rPr>
      <t>aus</t>
    </r>
    <r>
      <rPr>
        <sz val="8"/>
        <rFont val="Arial"/>
        <family val="2"/>
      </rPr>
      <t xml:space="preserve"> Härteausgleich</t>
    </r>
  </si>
  <si>
    <r>
      <t xml:space="preserve">3625 Beitrag </t>
    </r>
    <r>
      <rPr>
        <u/>
        <sz val="8"/>
        <rFont val="Arial"/>
        <family val="2"/>
      </rPr>
      <t>an</t>
    </r>
    <r>
      <rPr>
        <sz val="8"/>
        <rFont val="Arial"/>
        <family val="2"/>
      </rPr>
      <t xml:space="preserve"> Härteausgleich</t>
    </r>
  </si>
  <si>
    <t>Für die Berechnung des Ressourcenausgleichs stellt der Kanton ein separates Tool zur Verfügung, das jährlich aufdatiert wird:</t>
  </si>
  <si>
    <t>www.lu.ch/verwaltung/FD/Finanzaufsicht_Gemeinden/Handbuch_Finanzhaushalt/downloads</t>
  </si>
  <si>
    <t>--&gt; Prognose Ressourcenausgleich</t>
  </si>
  <si>
    <t>Tipp:</t>
  </si>
  <si>
    <t>Zinssätze (für interne Zinsverrechnung, nomal)</t>
  </si>
  <si>
    <t>Zinssätze (für interne Zinsverrechnung, Spezfin)</t>
  </si>
  <si>
    <t>davon Zinsaufwand</t>
  </si>
  <si>
    <t>davon Zinsertrag</t>
  </si>
  <si>
    <t>Zinsertrag</t>
  </si>
  <si>
    <t>Zinsaufwand</t>
  </si>
  <si>
    <t>Nettozinsaufwand (340 abzüglich 440)</t>
  </si>
  <si>
    <t>Finanzaufwand (34)</t>
  </si>
  <si>
    <t>Zinsaufwand (340)</t>
  </si>
  <si>
    <t>Zinsertrag (440)</t>
  </si>
  <si>
    <t>Finanzertrag (44)</t>
  </si>
  <si>
    <t>Ausgangslage für Finanzplan: Budget – Budget</t>
  </si>
  <si>
    <t>Ja</t>
  </si>
  <si>
    <t>Ertrag der Gemeindesteuern (Nat/Jur Personen)</t>
  </si>
  <si>
    <t>davon 2068 Überschuss Anschlussgeb.</t>
  </si>
  <si>
    <t>Finanzplanungstool HRM2 Kanton Luzern Version 6 vom 30. Juni 2021</t>
  </si>
  <si>
    <t>VV Spezialfinanzierungen Ende Jahr</t>
  </si>
  <si>
    <t>Nettoschuld ohne SF Ende Jahr</t>
  </si>
  <si>
    <t>Abschreibungen auf VV Spezialfinanzierungen</t>
  </si>
  <si>
    <t>Nettoinvestitionen in VV Spezialfinanzierungen</t>
  </si>
  <si>
    <t>Spezialfinanzierungen im EK (Pos. 290)</t>
  </si>
  <si>
    <t xml:space="preserve">                 ohne Spezialfinanzierungen</t>
  </si>
  <si>
    <t>Finanzen</t>
  </si>
  <si>
    <t>Luzern</t>
  </si>
  <si>
    <t>AB1</t>
  </si>
  <si>
    <t>Politik und Verwaltung</t>
  </si>
  <si>
    <t>AB2</t>
  </si>
  <si>
    <t>AB3</t>
  </si>
  <si>
    <t>AB4</t>
  </si>
  <si>
    <t>AB5</t>
  </si>
  <si>
    <t>AB6</t>
  </si>
  <si>
    <t>Verwaltung</t>
  </si>
  <si>
    <t>Freizeit, Jugend und Kultur</t>
  </si>
  <si>
    <t>Freizeit</t>
  </si>
  <si>
    <t>Soziales, Gesundheit und Alter</t>
  </si>
  <si>
    <t>Soziales</t>
  </si>
  <si>
    <t>Infrastruktur, Sicherheit, Raumordnung und Umwelt</t>
  </si>
  <si>
    <t>Infrastruktur</t>
  </si>
  <si>
    <t>Finanzen, Steuern und Abgaben</t>
  </si>
  <si>
    <t>Menznau</t>
  </si>
  <si>
    <t>Gem.-haus: Ersatz Wärmeerzeugung</t>
  </si>
  <si>
    <t>Gem.-haus: Behindertengerechte Erschliessung</t>
  </si>
  <si>
    <t>Prim.-Sh. Menznau: Wandtafel, Heizung, Sl.-Anl.</t>
  </si>
  <si>
    <t>ORST. Menzn.: Wandtafel, Heizung, Fass., Sl.-Anl.</t>
  </si>
  <si>
    <t>Turnh. Menzn.: Heizung, Fass./Dach, Platz, Sl.-Anl.</t>
  </si>
  <si>
    <t>Rickenhalle: Tischersatz, Sl.-Anl. Fassade</t>
  </si>
  <si>
    <t>Sh. Geiss: Fenster, Flachd./Fass., Aussenplatz</t>
  </si>
  <si>
    <t>Sh. Menzb.: Heizung, Sl.-Anl., Fass./Dach, A-Platz</t>
  </si>
  <si>
    <t>Sportanl. Herrenwald: Analyse und Erneuerung</t>
  </si>
  <si>
    <t>S</t>
  </si>
  <si>
    <t>Heim Weiermatte: Gebäudetechnik/Gebäudehülle</t>
  </si>
  <si>
    <t>Heim Weiermatte: Haustechnik (Wäscherei)</t>
  </si>
  <si>
    <t>Heim Weiermatte: Innenräume/Ausguss</t>
  </si>
  <si>
    <t>Feuerwehr: Ersatz Kleinlöschfahrzeug</t>
  </si>
  <si>
    <t>Feuerwehr: Löschwasserversorgung</t>
  </si>
  <si>
    <t>Militär/Schiesswesen: Altlastensanierung</t>
  </si>
  <si>
    <t>Gem.-Str.1: Menznau-Menzberg Werterhalt</t>
  </si>
  <si>
    <t>Feuerw./Werkd./Entsorg.: Neubau Betriebsgeb.</t>
  </si>
  <si>
    <t>Gem.-Str.1: Menznau-Geiss Sanierungsprojekt</t>
  </si>
  <si>
    <t>Gem.-Str.1: Unterdorfstrasse Sanierungsprojekt</t>
  </si>
  <si>
    <t>Gem.-Str.1: Stettenbach/Buttisholz/Buholz</t>
  </si>
  <si>
    <t>Gem.-Str.1: Rickenkreisel Folgearbeiten</t>
  </si>
  <si>
    <t>Gem.-Str.2: Herrenwald, Belagssanierung</t>
  </si>
  <si>
    <t>Gem.-Str.2: Rickenstr. Erwerb Rickenplatz</t>
  </si>
  <si>
    <t>Gem.-Str.2: Renggstrasse Belagssanierung</t>
  </si>
  <si>
    <t>Tempo 30 und PP-Bewirtschaftung Menznau</t>
  </si>
  <si>
    <t>Güterstrassen: Gemeindebeitrag an Sanierungen</t>
  </si>
  <si>
    <t>Öffentl. Verkehr: Inv.-Beitrag an VVL</t>
  </si>
  <si>
    <t>Abwasserentsorg.: Anlagen- und Netzerneuerung</t>
  </si>
  <si>
    <t>Wasserversorg.: Anlagen- und Netzerneuerung</t>
  </si>
  <si>
    <t>Abwasserentsorgung: Anschlussgebühren</t>
  </si>
  <si>
    <t>Wasserversorgung: Anschlussgebühren</t>
  </si>
  <si>
    <t>Wasserbau: Seewag Hochwasserschutz</t>
  </si>
  <si>
    <t>Wasserbau: Seewag Hochwasserschutz, Kanton</t>
  </si>
  <si>
    <t>Gem.-haus: Werterhaltung Fassade, Kaminabbruch</t>
  </si>
  <si>
    <t>Feuerwehr: Löschwasservers. Subv. GVL</t>
  </si>
  <si>
    <t>Zonenplanrev./Aussch.Gewässerräume</t>
  </si>
  <si>
    <t>Davon Spezfinanziert</t>
  </si>
  <si>
    <t>LKB Willisau</t>
  </si>
  <si>
    <t>Gemeinderat: Imagekampagne</t>
  </si>
  <si>
    <t>Mitfinanzierung Miete Artzpraxis läuft aus</t>
  </si>
  <si>
    <t>Gebäudeunterhalt (nach Hageljahr) wieder rückläufig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</si>
</sst>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[$-807]d/\ mmmm\ yyyy;@"/>
    <numFmt numFmtId="167" formatCode="#,##0.0"/>
    <numFmt numFmtId="168" formatCode="0.000000"/>
    <numFmt numFmtId="169" formatCode="0.00000000"/>
  </numFmts>
  <fonts count="63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8"/>
      <color indexed="10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color indexed="18"/>
      <name val="Arial"/>
      <family val="2"/>
    </font>
    <font>
      <i/>
      <sz val="8"/>
      <color indexed="10"/>
      <name val="Arial"/>
      <family val="2"/>
    </font>
    <font>
      <b/>
      <sz val="9"/>
      <name val="Arial"/>
      <family val="2"/>
    </font>
    <font>
      <i/>
      <sz val="8"/>
      <color indexed="18"/>
      <name val="Arial"/>
      <family val="2"/>
    </font>
    <font>
      <b/>
      <sz val="9"/>
      <color indexed="10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sz val="7.5"/>
      <name val="Arial"/>
      <family val="2"/>
    </font>
    <font>
      <sz val="8"/>
      <name val="Univers Extended"/>
      <family val="2"/>
    </font>
    <font>
      <b/>
      <sz val="24"/>
      <name val="Arial"/>
      <family val="2"/>
    </font>
    <font>
      <sz val="24"/>
      <name val="Arial"/>
      <family val="2"/>
    </font>
    <font>
      <b/>
      <sz val="25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name val="Arial"/>
      <family val="2"/>
    </font>
    <font>
      <b/>
      <sz val="7.5"/>
      <name val="Arial"/>
      <family val="2"/>
    </font>
    <font>
      <sz val="9"/>
      <color indexed="81"/>
      <name val="Arial"/>
      <family val="2"/>
    </font>
    <font>
      <b/>
      <sz val="8"/>
      <color indexed="53"/>
      <name val="Arial"/>
      <family val="2"/>
    </font>
    <font>
      <i/>
      <sz val="8"/>
      <color indexed="53"/>
      <name val="Arial"/>
      <family val="2"/>
    </font>
    <font>
      <b/>
      <i/>
      <sz val="8"/>
      <color indexed="18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i/>
      <sz val="8"/>
      <color rgb="FFFF0000"/>
      <name val="Arial"/>
      <family val="2"/>
    </font>
    <font>
      <i/>
      <sz val="8"/>
      <color rgb="FF000090"/>
      <name val="Arial"/>
      <family val="2"/>
    </font>
    <font>
      <i/>
      <sz val="8"/>
      <color rgb="FF0000FF"/>
      <name val="Arial"/>
      <family val="2"/>
    </font>
    <font>
      <sz val="12"/>
      <color rgb="FF000000"/>
      <name val="Calibri"/>
      <family val="2"/>
    </font>
    <font>
      <b/>
      <sz val="9"/>
      <color rgb="FFFF0000"/>
      <name val="Arial"/>
      <family val="2"/>
    </font>
    <font>
      <i/>
      <sz val="8"/>
      <color theme="3" tint="0.39997558519241921"/>
      <name val="Arial"/>
      <family val="2"/>
    </font>
    <font>
      <b/>
      <i/>
      <sz val="8"/>
      <color theme="3" tint="0.39997558519241921"/>
      <name val="Arial"/>
      <family val="2"/>
    </font>
    <font>
      <b/>
      <i/>
      <sz val="8"/>
      <color theme="1"/>
      <name val="Arial"/>
      <family val="2"/>
    </font>
    <font>
      <i/>
      <sz val="8"/>
      <color rgb="FF0432FF"/>
      <name val="Arial"/>
      <family val="2"/>
    </font>
    <font>
      <sz val="8"/>
      <color rgb="FF0432FF"/>
      <name val="Arial"/>
      <family val="2"/>
    </font>
    <font>
      <b/>
      <sz val="8"/>
      <color rgb="FF0432FF"/>
      <name val="Arial"/>
      <family val="2"/>
    </font>
    <font>
      <b/>
      <i/>
      <sz val="8"/>
      <color rgb="FF0432FF"/>
      <name val="Arial"/>
      <family val="2"/>
    </font>
    <font>
      <b/>
      <sz val="8"/>
      <color theme="1"/>
      <name val="Arial"/>
      <family val="2"/>
    </font>
    <font>
      <b/>
      <i/>
      <u/>
      <sz val="8"/>
      <color indexed="18"/>
      <name val="Arial"/>
      <family val="2"/>
    </font>
    <font>
      <sz val="8"/>
      <color indexed="18"/>
      <name val="Arial"/>
      <family val="2"/>
    </font>
    <font>
      <sz val="8"/>
      <color rgb="FFFF0000"/>
      <name val="Arial"/>
      <family val="2"/>
    </font>
    <font>
      <sz val="10"/>
      <color rgb="FF000000"/>
      <name val="Tahoma"/>
      <family val="2"/>
    </font>
    <font>
      <sz val="9"/>
      <color rgb="FF000000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8"/>
      <color rgb="FF000000"/>
      <name val="Arial"/>
      <family val="34"/>
    </font>
    <font>
      <b/>
      <sz val="8"/>
      <color rgb="FFFF0000"/>
      <name val="Arial"/>
      <family val="2"/>
    </font>
    <font>
      <b/>
      <sz val="8"/>
      <color rgb="FF000000"/>
      <name val="Arial"/>
      <family val="34"/>
    </font>
    <font>
      <sz val="8"/>
      <color rgb="FF000000"/>
      <name val="Tahoma"/>
      <family val="2"/>
    </font>
    <font>
      <sz val="10"/>
      <color rgb="FF000000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u/>
      <sz val="8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DD2"/>
        <bgColor rgb="FFFFFDD2"/>
      </patternFill>
    </fill>
    <fill>
      <patternFill patternType="solid">
        <fgColor rgb="FFFFFDD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DD2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000000"/>
      </patternFill>
    </fill>
  </fills>
  <borders count="14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/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medium">
        <color auto="1"/>
      </left>
      <right style="dotted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 style="thin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thin">
        <color auto="1"/>
      </right>
      <top/>
      <bottom style="dotted">
        <color auto="1"/>
      </bottom>
      <diagonal/>
    </border>
    <border>
      <left/>
      <right style="dotted">
        <color auto="1"/>
      </right>
      <top style="thin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dotted">
        <color auto="1"/>
      </left>
      <right style="medium">
        <color auto="1"/>
      </right>
      <top/>
      <bottom/>
      <diagonal/>
    </border>
    <border>
      <left style="dotted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/>
      <diagonal/>
    </border>
    <border>
      <left style="dott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indexed="46"/>
      </bottom>
      <diagonal/>
    </border>
    <border>
      <left style="dotted">
        <color auto="1"/>
      </left>
      <right style="dotted">
        <color auto="1"/>
      </right>
      <top/>
      <bottom style="thin">
        <color indexed="46"/>
      </bottom>
      <diagonal/>
    </border>
    <border>
      <left style="dotted">
        <color auto="1"/>
      </left>
      <right style="thin">
        <color auto="1"/>
      </right>
      <top/>
      <bottom style="thin">
        <color indexed="46"/>
      </bottom>
      <diagonal/>
    </border>
    <border>
      <left style="thin">
        <color auto="1"/>
      </left>
      <right style="dotted">
        <color auto="1"/>
      </right>
      <top style="thin">
        <color indexed="46"/>
      </top>
      <bottom style="thin">
        <color indexed="46"/>
      </bottom>
      <diagonal/>
    </border>
    <border>
      <left style="dotted">
        <color auto="1"/>
      </left>
      <right style="dotted">
        <color auto="1"/>
      </right>
      <top style="thin">
        <color indexed="46"/>
      </top>
      <bottom style="thin">
        <color indexed="46"/>
      </bottom>
      <diagonal/>
    </border>
    <border>
      <left style="dotted">
        <color auto="1"/>
      </left>
      <right style="thin">
        <color auto="1"/>
      </right>
      <top style="thin">
        <color indexed="46"/>
      </top>
      <bottom style="thin">
        <color indexed="46"/>
      </bottom>
      <diagonal/>
    </border>
    <border>
      <left style="thin">
        <color auto="1"/>
      </left>
      <right style="thin">
        <color auto="1"/>
      </right>
      <top/>
      <bottom style="thin">
        <color indexed="46"/>
      </bottom>
      <diagonal/>
    </border>
    <border>
      <left/>
      <right style="dotted">
        <color auto="1"/>
      </right>
      <top/>
      <bottom style="thin">
        <color indexed="46"/>
      </bottom>
      <diagonal/>
    </border>
    <border>
      <left/>
      <right style="dotted">
        <color auto="1"/>
      </right>
      <top style="thin">
        <color indexed="46"/>
      </top>
      <bottom style="thin">
        <color indexed="46"/>
      </bottom>
      <diagonal/>
    </border>
    <border>
      <left style="medium">
        <color auto="1"/>
      </left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dotted">
        <color auto="1"/>
      </bottom>
      <diagonal/>
    </border>
    <border>
      <left/>
      <right/>
      <top/>
      <bottom style="thin">
        <color indexed="46"/>
      </bottom>
      <diagonal/>
    </border>
    <border>
      <left/>
      <right/>
      <top style="thin">
        <color indexed="46"/>
      </top>
      <bottom style="thin">
        <color indexed="46"/>
      </bottom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46"/>
      </bottom>
      <diagonal/>
    </border>
    <border>
      <left/>
      <right style="dotted">
        <color auto="1"/>
      </right>
      <top/>
      <bottom style="thin">
        <color rgb="FFCC99FF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/>
      <top/>
      <bottom style="thin">
        <color auto="1"/>
      </bottom>
      <diagonal/>
    </border>
    <border>
      <left style="dotted">
        <color auto="1"/>
      </left>
      <right/>
      <top style="thin">
        <color auto="1"/>
      </top>
      <bottom/>
      <diagonal/>
    </border>
    <border>
      <left style="medium">
        <color auto="1"/>
      </left>
      <right style="dotted">
        <color auto="1"/>
      </right>
      <top/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medium">
        <color auto="1"/>
      </right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46"/>
      </top>
      <bottom style="thin">
        <color indexed="46"/>
      </bottom>
      <diagonal/>
    </border>
    <border>
      <left/>
      <right style="thin">
        <color auto="1"/>
      </right>
      <top/>
      <bottom style="thin">
        <color indexed="46"/>
      </bottom>
      <diagonal/>
    </border>
    <border>
      <left/>
      <right style="thin">
        <color auto="1"/>
      </right>
      <top style="thin">
        <color indexed="46"/>
      </top>
      <bottom style="thin">
        <color indexed="46"/>
      </bottom>
      <diagonal/>
    </border>
    <border>
      <left style="thin">
        <color auto="1"/>
      </left>
      <right style="thin">
        <color auto="1"/>
      </right>
      <top style="thin">
        <color indexed="46"/>
      </top>
      <bottom/>
      <diagonal/>
    </border>
    <border>
      <left/>
      <right style="thin">
        <color auto="1"/>
      </right>
      <top/>
      <bottom style="thin">
        <color rgb="FFCC99FF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medium">
        <color auto="1"/>
      </left>
      <right style="dotted">
        <color auto="1"/>
      </right>
      <top style="dotted">
        <color auto="1"/>
      </top>
      <bottom/>
      <diagonal/>
    </border>
    <border>
      <left style="thin">
        <color auto="1"/>
      </left>
      <right style="medium">
        <color auto="1"/>
      </right>
      <top style="dotted">
        <color auto="1"/>
      </top>
      <bottom/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indexed="4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tted">
        <color auto="1"/>
      </right>
      <top style="thin">
        <color indexed="46"/>
      </top>
      <bottom/>
      <diagonal/>
    </border>
    <border>
      <left style="thin">
        <color indexed="64"/>
      </left>
      <right style="dotted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dotted">
        <color auto="1"/>
      </right>
      <top style="thin">
        <color indexed="64"/>
      </top>
      <bottom style="thin">
        <color indexed="46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46"/>
      </bottom>
      <diagonal/>
    </border>
    <border>
      <left style="thin">
        <color auto="1"/>
      </left>
      <right style="thin">
        <color indexed="64"/>
      </right>
      <top/>
      <bottom style="thin">
        <color indexed="46"/>
      </bottom>
      <diagonal/>
    </border>
    <border>
      <left style="thin">
        <color indexed="64"/>
      </left>
      <right style="dotted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tted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otted">
        <color auto="1"/>
      </right>
      <top/>
      <bottom style="thin">
        <color auto="1"/>
      </bottom>
      <diagonal/>
    </border>
    <border>
      <left/>
      <right/>
      <top style="thin">
        <color indexed="46"/>
      </top>
      <bottom style="thin">
        <color indexed="46"/>
      </bottom>
      <diagonal/>
    </border>
    <border>
      <left style="thin">
        <color auto="1"/>
      </left>
      <right style="thin">
        <color auto="1"/>
      </right>
      <top style="thin">
        <color indexed="46"/>
      </top>
      <bottom style="thin">
        <color indexed="46"/>
      </bottom>
      <diagonal/>
    </border>
    <border>
      <left/>
      <right style="dotted">
        <color auto="1"/>
      </right>
      <top style="thin">
        <color indexed="46"/>
      </top>
      <bottom style="thin">
        <color indexed="46"/>
      </bottom>
      <diagonal/>
    </border>
    <border>
      <left style="dotted">
        <color auto="1"/>
      </left>
      <right style="dotted">
        <color auto="1"/>
      </right>
      <top style="thin">
        <color indexed="46"/>
      </top>
      <bottom style="thin">
        <color indexed="46"/>
      </bottom>
      <diagonal/>
    </border>
    <border>
      <left style="dotted">
        <color auto="1"/>
      </left>
      <right style="thin">
        <color auto="1"/>
      </right>
      <top style="thin">
        <color indexed="46"/>
      </top>
      <bottom style="thin">
        <color indexed="46"/>
      </bottom>
      <diagonal/>
    </border>
    <border>
      <left/>
      <right style="thin">
        <color auto="1"/>
      </right>
      <top style="thin">
        <color indexed="46"/>
      </top>
      <bottom style="thin">
        <color indexed="46"/>
      </bottom>
      <diagonal/>
    </border>
  </borders>
  <cellStyleXfs count="1558">
    <xf numFmtId="0" fontId="0" fillId="0" borderId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</cellStyleXfs>
  <cellXfs count="1506">
    <xf numFmtId="0" fontId="0" fillId="0" borderId="0" xfId="0"/>
    <xf numFmtId="0" fontId="2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2" fillId="2" borderId="0" xfId="1" applyNumberFormat="1" applyFont="1" applyFill="1" applyBorder="1"/>
    <xf numFmtId="9" fontId="2" fillId="2" borderId="7" xfId="3" applyFont="1" applyFill="1" applyBorder="1"/>
    <xf numFmtId="9" fontId="2" fillId="2" borderId="8" xfId="3" applyFont="1" applyFill="1" applyBorder="1"/>
    <xf numFmtId="0" fontId="2" fillId="2" borderId="3" xfId="0" applyFont="1" applyFill="1" applyBorder="1" applyAlignment="1">
      <alignment horizontal="left"/>
    </xf>
    <xf numFmtId="0" fontId="6" fillId="2" borderId="0" xfId="0" applyFont="1" applyFill="1" applyBorder="1"/>
    <xf numFmtId="0" fontId="7" fillId="2" borderId="3" xfId="0" applyFont="1" applyFill="1" applyBorder="1" applyAlignment="1">
      <alignment horizontal="left"/>
    </xf>
    <xf numFmtId="0" fontId="7" fillId="2" borderId="0" xfId="0" applyFont="1" applyFill="1"/>
    <xf numFmtId="0" fontId="7" fillId="2" borderId="0" xfId="0" applyFont="1" applyFill="1" applyBorder="1"/>
    <xf numFmtId="0" fontId="7" fillId="2" borderId="10" xfId="0" applyFont="1" applyFill="1" applyBorder="1" applyAlignment="1">
      <alignment horizontal="left"/>
    </xf>
    <xf numFmtId="164" fontId="2" fillId="2" borderId="0" xfId="1" applyNumberFormat="1" applyFont="1" applyFill="1"/>
    <xf numFmtId="0" fontId="0" fillId="2" borderId="0" xfId="0" applyFill="1"/>
    <xf numFmtId="0" fontId="9" fillId="2" borderId="0" xfId="0" applyFont="1" applyFill="1"/>
    <xf numFmtId="0" fontId="9" fillId="2" borderId="0" xfId="0" applyFont="1" applyFill="1" applyBorder="1"/>
    <xf numFmtId="0" fontId="9" fillId="2" borderId="0" xfId="0" applyFont="1" applyFill="1" applyBorder="1" applyAlignment="1">
      <alignment horizontal="right"/>
    </xf>
    <xf numFmtId="0" fontId="9" fillId="2" borderId="1" xfId="0" applyFont="1" applyFill="1" applyBorder="1"/>
    <xf numFmtId="0" fontId="9" fillId="2" borderId="11" xfId="0" applyFont="1" applyFill="1" applyBorder="1"/>
    <xf numFmtId="0" fontId="9" fillId="2" borderId="14" xfId="0" applyFont="1" applyFill="1" applyBorder="1"/>
    <xf numFmtId="0" fontId="9" fillId="2" borderId="3" xfId="0" applyFont="1" applyFill="1" applyBorder="1"/>
    <xf numFmtId="3" fontId="9" fillId="2" borderId="15" xfId="0" applyNumberFormat="1" applyFont="1" applyFill="1" applyBorder="1" applyAlignment="1">
      <alignment horizontal="right"/>
    </xf>
    <xf numFmtId="0" fontId="4" fillId="2" borderId="0" xfId="0" applyFont="1" applyFill="1"/>
    <xf numFmtId="0" fontId="7" fillId="2" borderId="11" xfId="0" applyFont="1" applyFill="1" applyBorder="1"/>
    <xf numFmtId="0" fontId="12" fillId="2" borderId="0" xfId="0" applyFont="1" applyFill="1" applyBorder="1"/>
    <xf numFmtId="0" fontId="10" fillId="2" borderId="0" xfId="0" applyFont="1" applyFill="1"/>
    <xf numFmtId="0" fontId="10" fillId="2" borderId="0" xfId="0" applyFont="1" applyFill="1" applyBorder="1"/>
    <xf numFmtId="0" fontId="7" fillId="2" borderId="1" xfId="0" applyFont="1" applyFill="1" applyBorder="1"/>
    <xf numFmtId="0" fontId="9" fillId="2" borderId="0" xfId="0" applyFont="1" applyFill="1" applyAlignment="1">
      <alignment horizontal="right"/>
    </xf>
    <xf numFmtId="0" fontId="7" fillId="2" borderId="5" xfId="0" applyFont="1" applyFill="1" applyBorder="1"/>
    <xf numFmtId="0" fontId="11" fillId="2" borderId="0" xfId="0" applyFont="1" applyFill="1"/>
    <xf numFmtId="0" fontId="13" fillId="2" borderId="0" xfId="0" applyFont="1" applyFill="1"/>
    <xf numFmtId="0" fontId="13" fillId="2" borderId="0" xfId="0" applyFont="1" applyFill="1" applyAlignment="1">
      <alignment horizontal="right"/>
    </xf>
    <xf numFmtId="3" fontId="9" fillId="2" borderId="18" xfId="0" applyNumberFormat="1" applyFont="1" applyFill="1" applyBorder="1" applyAlignment="1">
      <alignment horizontal="right"/>
    </xf>
    <xf numFmtId="2" fontId="2" fillId="2" borderId="0" xfId="0" applyNumberFormat="1" applyFont="1" applyFill="1"/>
    <xf numFmtId="0" fontId="9" fillId="2" borderId="23" xfId="0" applyFont="1" applyFill="1" applyBorder="1"/>
    <xf numFmtId="164" fontId="9" fillId="2" borderId="15" xfId="1" applyNumberFormat="1" applyFont="1" applyFill="1" applyBorder="1"/>
    <xf numFmtId="10" fontId="9" fillId="2" borderId="13" xfId="3" applyNumberFormat="1" applyFont="1" applyFill="1" applyBorder="1"/>
    <xf numFmtId="0" fontId="9" fillId="2" borderId="25" xfId="0" applyFont="1" applyFill="1" applyBorder="1"/>
    <xf numFmtId="0" fontId="9" fillId="2" borderId="26" xfId="0" applyFont="1" applyFill="1" applyBorder="1"/>
    <xf numFmtId="0" fontId="9" fillId="2" borderId="27" xfId="0" applyFont="1" applyFill="1" applyBorder="1"/>
    <xf numFmtId="164" fontId="9" fillId="2" borderId="23" xfId="1" applyNumberFormat="1" applyFont="1" applyFill="1" applyBorder="1"/>
    <xf numFmtId="10" fontId="9" fillId="2" borderId="14" xfId="3" applyNumberFormat="1" applyFont="1" applyFill="1" applyBorder="1"/>
    <xf numFmtId="3" fontId="9" fillId="2" borderId="23" xfId="0" applyNumberFormat="1" applyFont="1" applyFill="1" applyBorder="1" applyAlignment="1">
      <alignment horizontal="right"/>
    </xf>
    <xf numFmtId="3" fontId="9" fillId="2" borderId="28" xfId="0" applyNumberFormat="1" applyFont="1" applyFill="1" applyBorder="1" applyAlignment="1">
      <alignment horizontal="right"/>
    </xf>
    <xf numFmtId="49" fontId="9" fillId="2" borderId="29" xfId="0" applyNumberFormat="1" applyFont="1" applyFill="1" applyBorder="1"/>
    <xf numFmtId="0" fontId="9" fillId="2" borderId="30" xfId="0" applyFont="1" applyFill="1" applyBorder="1"/>
    <xf numFmtId="10" fontId="2" fillId="2" borderId="0" xfId="3" applyNumberFormat="1" applyFont="1" applyFill="1"/>
    <xf numFmtId="3" fontId="9" fillId="2" borderId="20" xfId="0" applyNumberFormat="1" applyFont="1" applyFill="1" applyBorder="1" applyAlignment="1">
      <alignment horizontal="right"/>
    </xf>
    <xf numFmtId="0" fontId="7" fillId="0" borderId="0" xfId="0" applyFont="1" applyFill="1"/>
    <xf numFmtId="0" fontId="2" fillId="0" borderId="0" xfId="0" applyFont="1" applyFill="1"/>
    <xf numFmtId="166" fontId="3" fillId="2" borderId="0" xfId="0" applyNumberFormat="1" applyFont="1" applyFill="1"/>
    <xf numFmtId="10" fontId="9" fillId="2" borderId="11" xfId="3" applyNumberFormat="1" applyFont="1" applyFill="1" applyBorder="1"/>
    <xf numFmtId="1" fontId="7" fillId="2" borderId="33" xfId="0" applyNumberFormat="1" applyFont="1" applyFill="1" applyBorder="1"/>
    <xf numFmtId="0" fontId="9" fillId="2" borderId="0" xfId="0" quotePrefix="1" applyFont="1" applyFill="1"/>
    <xf numFmtId="0" fontId="2" fillId="2" borderId="10" xfId="0" applyFont="1" applyFill="1" applyBorder="1"/>
    <xf numFmtId="0" fontId="2" fillId="2" borderId="9" xfId="0" applyFont="1" applyFill="1" applyBorder="1"/>
    <xf numFmtId="3" fontId="9" fillId="2" borderId="40" xfId="0" applyNumberFormat="1" applyFont="1" applyFill="1" applyBorder="1" applyAlignment="1">
      <alignment horizontal="right"/>
    </xf>
    <xf numFmtId="166" fontId="3" fillId="2" borderId="0" xfId="0" applyNumberFormat="1" applyFont="1" applyFill="1" applyAlignment="1">
      <alignment horizontal="left"/>
    </xf>
    <xf numFmtId="0" fontId="7" fillId="2" borderId="44" xfId="0" applyFont="1" applyFill="1" applyBorder="1"/>
    <xf numFmtId="0" fontId="7" fillId="2" borderId="50" xfId="0" applyFont="1" applyFill="1" applyBorder="1"/>
    <xf numFmtId="0" fontId="7" fillId="2" borderId="35" xfId="0" applyFont="1" applyFill="1" applyBorder="1"/>
    <xf numFmtId="0" fontId="7" fillId="2" borderId="47" xfId="0" applyFont="1" applyFill="1" applyBorder="1"/>
    <xf numFmtId="10" fontId="9" fillId="2" borderId="2" xfId="3" applyNumberFormat="1" applyFont="1" applyFill="1" applyBorder="1"/>
    <xf numFmtId="10" fontId="9" fillId="2" borderId="4" xfId="3" applyNumberFormat="1" applyFont="1" applyFill="1" applyBorder="1"/>
    <xf numFmtId="49" fontId="7" fillId="2" borderId="10" xfId="0" applyNumberFormat="1" applyFont="1" applyFill="1" applyBorder="1" applyAlignment="1">
      <alignment horizontal="center"/>
    </xf>
    <xf numFmtId="49" fontId="7" fillId="2" borderId="9" xfId="0" applyNumberFormat="1" applyFont="1" applyFill="1" applyBorder="1"/>
    <xf numFmtId="3" fontId="8" fillId="0" borderId="12" xfId="1" applyNumberFormat="1" applyFont="1" applyFill="1" applyBorder="1"/>
    <xf numFmtId="0" fontId="5" fillId="2" borderId="0" xfId="0" applyFont="1" applyFill="1"/>
    <xf numFmtId="0" fontId="0" fillId="0" borderId="46" xfId="0" applyBorder="1" applyAlignment="1"/>
    <xf numFmtId="0" fontId="5" fillId="0" borderId="0" xfId="0" applyFont="1" applyFill="1"/>
    <xf numFmtId="0" fontId="2" fillId="2" borderId="0" xfId="0" applyFont="1" applyFill="1" applyBorder="1" applyAlignment="1" applyProtection="1">
      <alignment wrapText="1"/>
      <protection locked="0"/>
    </xf>
    <xf numFmtId="0" fontId="2" fillId="2" borderId="0" xfId="0" applyFont="1" applyFill="1" applyBorder="1" applyProtection="1">
      <protection locked="0"/>
    </xf>
    <xf numFmtId="0" fontId="13" fillId="2" borderId="0" xfId="0" applyFont="1" applyFill="1" applyAlignment="1" applyProtection="1"/>
    <xf numFmtId="0" fontId="13" fillId="2" borderId="0" xfId="0" applyFont="1" applyFill="1" applyAlignment="1" applyProtection="1">
      <alignment horizontal="right"/>
    </xf>
    <xf numFmtId="0" fontId="13" fillId="2" borderId="0" xfId="0" applyFont="1" applyFill="1" applyProtection="1"/>
    <xf numFmtId="0" fontId="11" fillId="2" borderId="0" xfId="0" applyFont="1" applyFill="1" applyAlignment="1" applyProtection="1"/>
    <xf numFmtId="0" fontId="7" fillId="2" borderId="0" xfId="0" applyFont="1" applyFill="1" applyProtection="1"/>
    <xf numFmtId="0" fontId="9" fillId="2" borderId="0" xfId="0" applyFont="1" applyFill="1" applyBorder="1" applyAlignment="1" applyProtection="1">
      <alignment horizontal="right"/>
    </xf>
    <xf numFmtId="0" fontId="11" fillId="2" borderId="0" xfId="0" applyFont="1" applyFill="1" applyProtection="1"/>
    <xf numFmtId="0" fontId="2" fillId="2" borderId="0" xfId="0" applyFont="1" applyFill="1" applyBorder="1" applyProtection="1"/>
    <xf numFmtId="0" fontId="2" fillId="2" borderId="0" xfId="0" applyFont="1" applyFill="1" applyProtection="1"/>
    <xf numFmtId="0" fontId="7" fillId="2" borderId="0" xfId="0" applyFont="1" applyFill="1" applyBorder="1" applyProtection="1"/>
    <xf numFmtId="3" fontId="2" fillId="2" borderId="15" xfId="0" applyNumberFormat="1" applyFont="1" applyFill="1" applyBorder="1" applyAlignment="1" applyProtection="1">
      <alignment horizontal="right"/>
    </xf>
    <xf numFmtId="3" fontId="2" fillId="2" borderId="18" xfId="0" applyNumberFormat="1" applyFont="1" applyFill="1" applyBorder="1" applyAlignment="1" applyProtection="1">
      <alignment horizontal="right"/>
    </xf>
    <xf numFmtId="0" fontId="9" fillId="2" borderId="0" xfId="0" applyFont="1" applyFill="1" applyBorder="1" applyAlignment="1" applyProtection="1"/>
    <xf numFmtId="3" fontId="2" fillId="2" borderId="17" xfId="0" applyNumberFormat="1" applyFont="1" applyFill="1" applyBorder="1" applyAlignment="1" applyProtection="1">
      <alignment horizontal="right"/>
    </xf>
    <xf numFmtId="3" fontId="2" fillId="2" borderId="21" xfId="0" applyNumberFormat="1" applyFont="1" applyFill="1" applyBorder="1" applyAlignment="1" applyProtection="1">
      <alignment horizontal="right"/>
    </xf>
    <xf numFmtId="0" fontId="5" fillId="2" borderId="46" xfId="0" applyFont="1" applyFill="1" applyBorder="1" applyAlignment="1" applyProtection="1"/>
    <xf numFmtId="0" fontId="9" fillId="2" borderId="0" xfId="0" applyFont="1" applyFill="1" applyProtection="1"/>
    <xf numFmtId="0" fontId="9" fillId="2" borderId="0" xfId="0" applyFont="1" applyFill="1" applyBorder="1" applyProtection="1"/>
    <xf numFmtId="3" fontId="9" fillId="2" borderId="37" xfId="0" applyNumberFormat="1" applyFont="1" applyFill="1" applyBorder="1" applyAlignment="1" applyProtection="1">
      <alignment horizontal="right"/>
    </xf>
    <xf numFmtId="3" fontId="9" fillId="2" borderId="64" xfId="0" applyNumberFormat="1" applyFont="1" applyFill="1" applyBorder="1" applyAlignment="1" applyProtection="1">
      <alignment horizontal="right"/>
    </xf>
    <xf numFmtId="3" fontId="9" fillId="2" borderId="17" xfId="0" applyNumberFormat="1" applyFont="1" applyFill="1" applyBorder="1" applyAlignment="1" applyProtection="1">
      <alignment horizontal="right"/>
    </xf>
    <xf numFmtId="0" fontId="2" fillId="2" borderId="5" xfId="0" applyFont="1" applyFill="1" applyBorder="1" applyAlignment="1" applyProtection="1"/>
    <xf numFmtId="0" fontId="7" fillId="2" borderId="0" xfId="0" applyFont="1" applyFill="1" applyBorder="1" applyAlignment="1" applyProtection="1">
      <alignment wrapText="1"/>
    </xf>
    <xf numFmtId="0" fontId="2" fillId="2" borderId="0" xfId="0" applyFont="1" applyFill="1" applyAlignment="1" applyProtection="1"/>
    <xf numFmtId="0" fontId="2" fillId="2" borderId="0" xfId="0" applyFont="1" applyFill="1" applyBorder="1" applyAlignment="1" applyProtection="1">
      <alignment horizontal="right"/>
    </xf>
    <xf numFmtId="0" fontId="2" fillId="2" borderId="0" xfId="0" applyFont="1" applyFill="1" applyBorder="1" applyAlignment="1" applyProtection="1"/>
    <xf numFmtId="0" fontId="5" fillId="2" borderId="2" xfId="0" applyFont="1" applyFill="1" applyBorder="1" applyAlignment="1" applyProtection="1"/>
    <xf numFmtId="0" fontId="5" fillId="2" borderId="1" xfId="0" applyFont="1" applyFill="1" applyBorder="1" applyProtection="1"/>
    <xf numFmtId="0" fontId="5" fillId="2" borderId="2" xfId="0" applyFont="1" applyFill="1" applyBorder="1" applyProtection="1"/>
    <xf numFmtId="0" fontId="5" fillId="2" borderId="0" xfId="0" applyFont="1" applyFill="1" applyBorder="1" applyProtection="1"/>
    <xf numFmtId="0" fontId="5" fillId="2" borderId="5" xfId="0" applyFont="1" applyFill="1" applyBorder="1" applyAlignment="1" applyProtection="1"/>
    <xf numFmtId="0" fontId="5" fillId="2" borderId="44" xfId="0" applyFont="1" applyFill="1" applyBorder="1" applyProtection="1"/>
    <xf numFmtId="0" fontId="5" fillId="2" borderId="35" xfId="0" applyFont="1" applyFill="1" applyBorder="1" applyProtection="1"/>
    <xf numFmtId="0" fontId="5" fillId="2" borderId="47" xfId="0" applyFont="1" applyFill="1" applyBorder="1" applyProtection="1"/>
    <xf numFmtId="0" fontId="5" fillId="2" borderId="8" xfId="0" applyFont="1" applyFill="1" applyBorder="1" applyProtection="1"/>
    <xf numFmtId="0" fontId="5" fillId="2" borderId="0" xfId="0" applyFont="1" applyFill="1" applyBorder="1" applyAlignment="1" applyProtection="1"/>
    <xf numFmtId="0" fontId="5" fillId="2" borderId="15" xfId="0" applyFont="1" applyFill="1" applyBorder="1" applyProtection="1"/>
    <xf numFmtId="0" fontId="5" fillId="2" borderId="18" xfId="0" applyFont="1" applyFill="1" applyBorder="1" applyProtection="1"/>
    <xf numFmtId="3" fontId="5" fillId="2" borderId="8" xfId="0" applyNumberFormat="1" applyFont="1" applyFill="1" applyBorder="1" applyProtection="1"/>
    <xf numFmtId="3" fontId="5" fillId="2" borderId="15" xfId="0" applyNumberFormat="1" applyFont="1" applyFill="1" applyBorder="1" applyProtection="1"/>
    <xf numFmtId="3" fontId="5" fillId="2" borderId="18" xfId="0" applyNumberFormat="1" applyFont="1" applyFill="1" applyBorder="1" applyProtection="1"/>
    <xf numFmtId="0" fontId="2" fillId="2" borderId="8" xfId="0" applyFont="1" applyFill="1" applyBorder="1" applyProtection="1"/>
    <xf numFmtId="0" fontId="9" fillId="2" borderId="0" xfId="0" applyFont="1" applyFill="1" applyAlignment="1" applyProtection="1"/>
    <xf numFmtId="0" fontId="2" fillId="2" borderId="16" xfId="0" applyFont="1" applyFill="1" applyBorder="1" applyProtection="1"/>
    <xf numFmtId="3" fontId="2" fillId="2" borderId="16" xfId="0" applyNumberFormat="1" applyFont="1" applyFill="1" applyBorder="1" applyAlignment="1" applyProtection="1">
      <alignment horizontal="right"/>
    </xf>
    <xf numFmtId="0" fontId="2" fillId="2" borderId="0" xfId="0" applyFont="1" applyFill="1" applyAlignment="1" applyProtection="1">
      <alignment wrapText="1"/>
      <protection locked="0"/>
    </xf>
    <xf numFmtId="0" fontId="2" fillId="2" borderId="0" xfId="0" applyFont="1" applyFill="1" applyProtection="1">
      <protection locked="0"/>
    </xf>
    <xf numFmtId="0" fontId="13" fillId="2" borderId="0" xfId="0" applyNumberFormat="1" applyFont="1" applyFill="1" applyProtection="1"/>
    <xf numFmtId="0" fontId="2" fillId="2" borderId="0" xfId="0" applyNumberFormat="1" applyFont="1" applyFill="1" applyProtection="1"/>
    <xf numFmtId="0" fontId="7" fillId="2" borderId="0" xfId="0" applyNumberFormat="1" applyFont="1" applyFill="1" applyProtection="1"/>
    <xf numFmtId="0" fontId="9" fillId="2" borderId="0" xfId="0" applyNumberFormat="1" applyFont="1" applyFill="1" applyBorder="1" applyProtection="1"/>
    <xf numFmtId="0" fontId="7" fillId="2" borderId="4" xfId="0" applyFont="1" applyFill="1" applyBorder="1" applyProtection="1"/>
    <xf numFmtId="0" fontId="7" fillId="2" borderId="2" xfId="0" applyFont="1" applyFill="1" applyBorder="1" applyProtection="1"/>
    <xf numFmtId="0" fontId="26" fillId="2" borderId="11" xfId="0" applyNumberFormat="1" applyFont="1" applyFill="1" applyBorder="1" applyAlignment="1" applyProtection="1">
      <alignment horizontal="left"/>
    </xf>
    <xf numFmtId="0" fontId="26" fillId="2" borderId="1" xfId="0" applyFont="1" applyFill="1" applyBorder="1" applyProtection="1"/>
    <xf numFmtId="0" fontId="26" fillId="2" borderId="2" xfId="0" applyFont="1" applyFill="1" applyBorder="1" applyProtection="1"/>
    <xf numFmtId="0" fontId="26" fillId="2" borderId="13" xfId="0" applyNumberFormat="1" applyFont="1" applyFill="1" applyBorder="1" applyProtection="1"/>
    <xf numFmtId="0" fontId="26" fillId="2" borderId="5" xfId="0" applyFont="1" applyFill="1" applyBorder="1" applyProtection="1"/>
    <xf numFmtId="0" fontId="7" fillId="2" borderId="6" xfId="0" applyFont="1" applyFill="1" applyBorder="1" applyProtection="1"/>
    <xf numFmtId="0" fontId="26" fillId="2" borderId="14" xfId="0" applyNumberFormat="1" applyFont="1" applyFill="1" applyBorder="1" applyAlignment="1" applyProtection="1">
      <alignment horizontal="left"/>
    </xf>
    <xf numFmtId="0" fontId="26" fillId="2" borderId="35" xfId="0" applyFont="1" applyFill="1" applyBorder="1" applyAlignment="1" applyProtection="1">
      <alignment horizontal="right"/>
    </xf>
    <xf numFmtId="0" fontId="14" fillId="2" borderId="8" xfId="0" applyFont="1" applyFill="1" applyBorder="1" applyAlignment="1" applyProtection="1">
      <alignment wrapText="1"/>
    </xf>
    <xf numFmtId="0" fontId="14" fillId="2" borderId="0" xfId="0" applyFont="1" applyFill="1" applyBorder="1" applyAlignment="1" applyProtection="1">
      <alignment wrapText="1"/>
    </xf>
    <xf numFmtId="3" fontId="14" fillId="2" borderId="8" xfId="0" applyNumberFormat="1" applyFont="1" applyFill="1" applyBorder="1" applyAlignment="1" applyProtection="1">
      <alignment horizontal="right" wrapText="1"/>
    </xf>
    <xf numFmtId="0" fontId="14" fillId="2" borderId="13" xfId="0" applyNumberFormat="1" applyFont="1" applyFill="1" applyBorder="1" applyAlignment="1" applyProtection="1">
      <alignment horizontal="center" wrapText="1"/>
    </xf>
    <xf numFmtId="3" fontId="14" fillId="2" borderId="20" xfId="0" applyNumberFormat="1" applyFont="1" applyFill="1" applyBorder="1" applyAlignment="1" applyProtection="1">
      <alignment wrapText="1"/>
    </xf>
    <xf numFmtId="3" fontId="14" fillId="2" borderId="20" xfId="0" applyNumberFormat="1" applyFont="1" applyFill="1" applyBorder="1" applyAlignment="1" applyProtection="1">
      <alignment horizontal="right" wrapText="1"/>
    </xf>
    <xf numFmtId="3" fontId="7" fillId="2" borderId="8" xfId="0" applyNumberFormat="1" applyFont="1" applyFill="1" applyBorder="1" applyAlignment="1" applyProtection="1">
      <alignment horizontal="right" wrapText="1"/>
    </xf>
    <xf numFmtId="0" fontId="7" fillId="2" borderId="13" xfId="0" applyNumberFormat="1" applyFont="1" applyFill="1" applyBorder="1" applyAlignment="1" applyProtection="1">
      <alignment horizontal="center" wrapText="1"/>
    </xf>
    <xf numFmtId="3" fontId="7" fillId="2" borderId="20" xfId="0" applyNumberFormat="1" applyFont="1" applyFill="1" applyBorder="1" applyAlignment="1" applyProtection="1">
      <alignment wrapText="1"/>
    </xf>
    <xf numFmtId="3" fontId="9" fillId="2" borderId="16" xfId="0" applyNumberFormat="1" applyFont="1" applyFill="1" applyBorder="1" applyAlignment="1" applyProtection="1">
      <alignment horizontal="right"/>
    </xf>
    <xf numFmtId="0" fontId="9" fillId="2" borderId="0" xfId="0" applyNumberFormat="1" applyFont="1" applyFill="1" applyProtection="1"/>
    <xf numFmtId="0" fontId="2" fillId="2" borderId="1" xfId="0" applyFont="1" applyFill="1" applyBorder="1" applyProtection="1"/>
    <xf numFmtId="0" fontId="2" fillId="2" borderId="15" xfId="0" applyFont="1" applyFill="1" applyBorder="1" applyProtection="1"/>
    <xf numFmtId="0" fontId="9" fillId="3" borderId="3" xfId="0" applyFont="1" applyFill="1" applyBorder="1" applyProtection="1">
      <protection locked="0"/>
    </xf>
    <xf numFmtId="0" fontId="9" fillId="3" borderId="36" xfId="0" applyFont="1" applyFill="1" applyBorder="1" applyProtection="1">
      <protection locked="0"/>
    </xf>
    <xf numFmtId="0" fontId="9" fillId="3" borderId="10" xfId="0" applyFont="1" applyFill="1" applyBorder="1" applyProtection="1">
      <protection locked="0"/>
    </xf>
    <xf numFmtId="0" fontId="9" fillId="3" borderId="9" xfId="0" applyFont="1" applyFill="1" applyBorder="1" applyProtection="1">
      <protection locked="0"/>
    </xf>
    <xf numFmtId="0" fontId="0" fillId="2" borderId="1" xfId="0" applyFill="1" applyBorder="1" applyAlignment="1"/>
    <xf numFmtId="10" fontId="2" fillId="2" borderId="16" xfId="3" applyNumberFormat="1" applyFont="1" applyFill="1" applyBorder="1"/>
    <xf numFmtId="0" fontId="5" fillId="2" borderId="0" xfId="0" applyFont="1" applyFill="1" applyBorder="1"/>
    <xf numFmtId="3" fontId="14" fillId="2" borderId="55" xfId="0" applyNumberFormat="1" applyFont="1" applyFill="1" applyBorder="1" applyAlignment="1" applyProtection="1">
      <alignment horizontal="right" wrapText="1"/>
      <protection locked="0"/>
    </xf>
    <xf numFmtId="3" fontId="14" fillId="2" borderId="58" xfId="0" applyNumberFormat="1" applyFont="1" applyFill="1" applyBorder="1" applyAlignment="1" applyProtection="1">
      <alignment horizontal="right" wrapText="1"/>
      <protection locked="0"/>
    </xf>
    <xf numFmtId="0" fontId="5" fillId="2" borderId="23" xfId="0" applyFont="1" applyFill="1" applyBorder="1" applyProtection="1"/>
    <xf numFmtId="0" fontId="2" fillId="2" borderId="17" xfId="0" applyFont="1" applyFill="1" applyBorder="1" applyProtection="1"/>
    <xf numFmtId="0" fontId="5" fillId="2" borderId="10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7" fillId="4" borderId="0" xfId="0" applyFont="1" applyFill="1" applyBorder="1"/>
    <xf numFmtId="0" fontId="9" fillId="4" borderId="0" xfId="0" applyFont="1" applyFill="1" applyBorder="1"/>
    <xf numFmtId="0" fontId="4" fillId="4" borderId="0" xfId="0" applyFont="1" applyFill="1"/>
    <xf numFmtId="0" fontId="9" fillId="4" borderId="0" xfId="0" applyFont="1" applyFill="1"/>
    <xf numFmtId="0" fontId="9" fillId="4" borderId="33" xfId="0" applyFont="1" applyFill="1" applyBorder="1"/>
    <xf numFmtId="0" fontId="9" fillId="4" borderId="46" xfId="0" applyFont="1" applyFill="1" applyBorder="1"/>
    <xf numFmtId="0" fontId="9" fillId="4" borderId="45" xfId="0" applyFont="1" applyFill="1" applyBorder="1"/>
    <xf numFmtId="0" fontId="9" fillId="4" borderId="11" xfId="0" applyFont="1" applyFill="1" applyBorder="1"/>
    <xf numFmtId="164" fontId="9" fillId="4" borderId="8" xfId="0" applyNumberFormat="1" applyFont="1" applyFill="1" applyBorder="1" applyAlignment="1">
      <alignment horizontal="right"/>
    </xf>
    <xf numFmtId="0" fontId="9" fillId="4" borderId="0" xfId="0" applyFont="1" applyFill="1" applyAlignment="1">
      <alignment horizontal="right"/>
    </xf>
    <xf numFmtId="164" fontId="9" fillId="4" borderId="13" xfId="0" applyNumberFormat="1" applyFont="1" applyFill="1" applyBorder="1" applyAlignment="1">
      <alignment horizontal="right"/>
    </xf>
    <xf numFmtId="164" fontId="9" fillId="4" borderId="12" xfId="0" applyNumberFormat="1" applyFont="1" applyFill="1" applyBorder="1"/>
    <xf numFmtId="0" fontId="10" fillId="4" borderId="0" xfId="0" applyFont="1" applyFill="1"/>
    <xf numFmtId="0" fontId="10" fillId="4" borderId="33" xfId="0" applyFont="1" applyFill="1" applyBorder="1"/>
    <xf numFmtId="0" fontId="10" fillId="4" borderId="46" xfId="0" applyFont="1" applyFill="1" applyBorder="1"/>
    <xf numFmtId="0" fontId="10" fillId="4" borderId="45" xfId="0" applyFont="1" applyFill="1" applyBorder="1"/>
    <xf numFmtId="0" fontId="15" fillId="4" borderId="0" xfId="0" applyFont="1" applyFill="1"/>
    <xf numFmtId="0" fontId="2" fillId="4" borderId="0" xfId="0" applyFont="1" applyFill="1" applyBorder="1"/>
    <xf numFmtId="164" fontId="9" fillId="2" borderId="0" xfId="0" applyNumberFormat="1" applyFont="1" applyFill="1"/>
    <xf numFmtId="0" fontId="5" fillId="2" borderId="0" xfId="0" applyFont="1" applyFill="1" applyProtection="1"/>
    <xf numFmtId="0" fontId="5" fillId="2" borderId="0" xfId="0" applyFont="1" applyFill="1" applyAlignment="1" applyProtection="1">
      <alignment horizontal="right"/>
    </xf>
    <xf numFmtId="0" fontId="8" fillId="0" borderId="9" xfId="0" applyFont="1" applyFill="1" applyBorder="1"/>
    <xf numFmtId="0" fontId="9" fillId="0" borderId="25" xfId="0" applyFont="1" applyFill="1" applyBorder="1"/>
    <xf numFmtId="0" fontId="9" fillId="0" borderId="26" xfId="0" applyFont="1" applyFill="1" applyBorder="1"/>
    <xf numFmtId="0" fontId="9" fillId="0" borderId="27" xfId="0" applyFont="1" applyFill="1" applyBorder="1"/>
    <xf numFmtId="0" fontId="9" fillId="0" borderId="10" xfId="0" applyFont="1" applyFill="1" applyBorder="1"/>
    <xf numFmtId="0" fontId="9" fillId="0" borderId="22" xfId="0" applyFont="1" applyFill="1" applyBorder="1"/>
    <xf numFmtId="0" fontId="9" fillId="0" borderId="23" xfId="0" applyFont="1" applyFill="1" applyBorder="1"/>
    <xf numFmtId="0" fontId="9" fillId="0" borderId="0" xfId="0" applyFont="1" applyFill="1"/>
    <xf numFmtId="0" fontId="9" fillId="0" borderId="0" xfId="0" applyFont="1" applyFill="1" applyAlignment="1">
      <alignment horizontal="left"/>
    </xf>
    <xf numFmtId="0" fontId="9" fillId="0" borderId="5" xfId="0" applyFont="1" applyFill="1" applyBorder="1"/>
    <xf numFmtId="0" fontId="5" fillId="0" borderId="26" xfId="0" applyFont="1" applyFill="1" applyBorder="1"/>
    <xf numFmtId="0" fontId="2" fillId="0" borderId="25" xfId="0" applyFont="1" applyFill="1" applyBorder="1"/>
    <xf numFmtId="3" fontId="2" fillId="2" borderId="0" xfId="0" applyNumberFormat="1" applyFont="1" applyFill="1" applyProtection="1"/>
    <xf numFmtId="0" fontId="7" fillId="2" borderId="6" xfId="0" applyFont="1" applyFill="1" applyBorder="1"/>
    <xf numFmtId="2" fontId="2" fillId="3" borderId="3" xfId="0" applyNumberFormat="1" applyFont="1" applyFill="1" applyBorder="1" applyProtection="1">
      <protection locked="0"/>
    </xf>
    <xf numFmtId="0" fontId="2" fillId="3" borderId="10" xfId="0" applyFont="1" applyFill="1" applyBorder="1" applyProtection="1">
      <protection locked="0"/>
    </xf>
    <xf numFmtId="3" fontId="5" fillId="2" borderId="0" xfId="1" applyNumberFormat="1" applyFont="1" applyFill="1" applyBorder="1" applyProtection="1">
      <protection locked="0"/>
    </xf>
    <xf numFmtId="0" fontId="2" fillId="2" borderId="0" xfId="0" applyFont="1" applyFill="1" applyAlignment="1">
      <alignment horizontal="right"/>
    </xf>
    <xf numFmtId="0" fontId="2" fillId="2" borderId="0" xfId="0" applyFont="1" applyFill="1" applyBorder="1" applyAlignment="1" applyProtection="1">
      <alignment wrapText="1"/>
    </xf>
    <xf numFmtId="0" fontId="2" fillId="0" borderId="0" xfId="0" applyFont="1" applyFill="1" applyBorder="1" applyProtection="1"/>
    <xf numFmtId="0" fontId="5" fillId="2" borderId="0" xfId="0" applyFont="1" applyFill="1" applyBorder="1" applyAlignment="1"/>
    <xf numFmtId="0" fontId="2" fillId="2" borderId="0" xfId="0" applyFont="1" applyFill="1"/>
    <xf numFmtId="0" fontId="2" fillId="2" borderId="4" xfId="0" applyFont="1" applyFill="1" applyBorder="1"/>
    <xf numFmtId="0" fontId="5" fillId="2" borderId="5" xfId="0" applyFont="1" applyFill="1" applyBorder="1" applyAlignment="1"/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right"/>
    </xf>
    <xf numFmtId="0" fontId="5" fillId="2" borderId="9" xfId="0" applyFont="1" applyFill="1" applyBorder="1" applyAlignment="1">
      <alignment horizontal="left"/>
    </xf>
    <xf numFmtId="0" fontId="0" fillId="2" borderId="5" xfId="0" applyFill="1" applyBorder="1" applyAlignment="1"/>
    <xf numFmtId="0" fontId="5" fillId="2" borderId="1" xfId="0" applyFont="1" applyFill="1" applyBorder="1" applyAlignment="1"/>
    <xf numFmtId="3" fontId="5" fillId="2" borderId="1" xfId="1" applyNumberFormat="1" applyFont="1" applyFill="1" applyBorder="1" applyProtection="1">
      <protection locked="0"/>
    </xf>
    <xf numFmtId="0" fontId="2" fillId="2" borderId="6" xfId="0" applyFont="1" applyFill="1" applyBorder="1" applyAlignment="1"/>
    <xf numFmtId="0" fontId="2" fillId="2" borderId="0" xfId="0" applyFont="1" applyFill="1" applyAlignment="1"/>
    <xf numFmtId="164" fontId="2" fillId="2" borderId="0" xfId="1" applyNumberFormat="1" applyFont="1" applyFill="1" applyBorder="1" applyAlignment="1"/>
    <xf numFmtId="164" fontId="8" fillId="0" borderId="12" xfId="1" applyNumberFormat="1" applyFont="1" applyFill="1" applyBorder="1" applyAlignment="1"/>
    <xf numFmtId="164" fontId="8" fillId="2" borderId="12" xfId="1" applyNumberFormat="1" applyFont="1" applyFill="1" applyBorder="1" applyAlignment="1"/>
    <xf numFmtId="164" fontId="7" fillId="0" borderId="11" xfId="1" applyNumberFormat="1" applyFont="1" applyFill="1" applyBorder="1" applyAlignment="1"/>
    <xf numFmtId="164" fontId="2" fillId="2" borderId="5" xfId="1" applyNumberFormat="1" applyFont="1" applyFill="1" applyBorder="1" applyAlignment="1"/>
    <xf numFmtId="164" fontId="2" fillId="2" borderId="0" xfId="1" applyNumberFormat="1" applyFont="1" applyFill="1" applyAlignment="1"/>
    <xf numFmtId="0" fontId="6" fillId="2" borderId="0" xfId="0" applyFont="1" applyFill="1" applyAlignment="1"/>
    <xf numFmtId="164" fontId="7" fillId="0" borderId="13" xfId="1" applyNumberFormat="1" applyFont="1" applyFill="1" applyBorder="1" applyAlignment="1" applyProtection="1">
      <protection locked="0"/>
    </xf>
    <xf numFmtId="164" fontId="7" fillId="6" borderId="13" xfId="1" applyNumberFormat="1" applyFont="1" applyFill="1" applyBorder="1" applyAlignment="1"/>
    <xf numFmtId="164" fontId="9" fillId="6" borderId="13" xfId="1" applyNumberFormat="1" applyFont="1" applyFill="1" applyBorder="1" applyAlignment="1" applyProtection="1">
      <protection locked="0"/>
    </xf>
    <xf numFmtId="164" fontId="7" fillId="6" borderId="14" xfId="1" applyNumberFormat="1" applyFont="1" applyFill="1" applyBorder="1" applyAlignment="1" applyProtection="1">
      <protection locked="0"/>
    </xf>
    <xf numFmtId="0" fontId="7" fillId="2" borderId="9" xfId="0" applyFont="1" applyFill="1" applyBorder="1" applyAlignment="1">
      <alignment horizontal="left"/>
    </xf>
    <xf numFmtId="164" fontId="5" fillId="2" borderId="0" xfId="1" applyNumberFormat="1" applyFont="1" applyFill="1" applyBorder="1" applyAlignment="1"/>
    <xf numFmtId="0" fontId="6" fillId="2" borderId="5" xfId="0" applyFont="1" applyFill="1" applyBorder="1" applyAlignment="1"/>
    <xf numFmtId="0" fontId="5" fillId="2" borderId="0" xfId="0" applyFont="1" applyFill="1" applyBorder="1" applyAlignment="1" applyProtection="1">
      <alignment wrapText="1"/>
    </xf>
    <xf numFmtId="0" fontId="5" fillId="2" borderId="8" xfId="0" applyFont="1" applyFill="1" applyBorder="1" applyAlignment="1" applyProtection="1">
      <alignment vertical="top" wrapText="1"/>
    </xf>
    <xf numFmtId="0" fontId="14" fillId="2" borderId="8" xfId="0" applyFont="1" applyFill="1" applyBorder="1" applyAlignment="1" applyProtection="1">
      <alignment vertical="top" wrapText="1"/>
    </xf>
    <xf numFmtId="0" fontId="7" fillId="2" borderId="8" xfId="0" applyFont="1" applyFill="1" applyBorder="1" applyAlignment="1" applyProtection="1">
      <alignment vertical="top" wrapText="1"/>
    </xf>
    <xf numFmtId="3" fontId="9" fillId="2" borderId="43" xfId="0" applyNumberFormat="1" applyFont="1" applyFill="1" applyBorder="1" applyAlignment="1" applyProtection="1">
      <alignment horizontal="right"/>
    </xf>
    <xf numFmtId="0" fontId="0" fillId="6" borderId="0" xfId="0" applyFill="1" applyAlignment="1"/>
    <xf numFmtId="0" fontId="0" fillId="0" borderId="0" xfId="0" applyAlignment="1"/>
    <xf numFmtId="0" fontId="0" fillId="0" borderId="1" xfId="0" applyBorder="1" applyAlignment="1"/>
    <xf numFmtId="0" fontId="0" fillId="0" borderId="2" xfId="0" applyBorder="1" applyAlignment="1"/>
    <xf numFmtId="0" fontId="2" fillId="2" borderId="3" xfId="0" applyFont="1" applyFill="1" applyBorder="1" applyAlignment="1"/>
    <xf numFmtId="0" fontId="0" fillId="0" borderId="4" xfId="0" applyBorder="1" applyAlignment="1"/>
    <xf numFmtId="0" fontId="13" fillId="2" borderId="0" xfId="0" applyFont="1" applyFill="1" applyAlignment="1"/>
    <xf numFmtId="0" fontId="13" fillId="2" borderId="0" xfId="0" applyFont="1" applyFill="1" applyAlignment="1">
      <alignment horizontal="right"/>
    </xf>
    <xf numFmtId="0" fontId="11" fillId="2" borderId="0" xfId="0" applyFont="1" applyFill="1" applyAlignment="1"/>
    <xf numFmtId="0" fontId="2" fillId="2" borderId="0" xfId="0" applyFont="1" applyFill="1" applyBorder="1" applyAlignment="1"/>
    <xf numFmtId="0" fontId="2" fillId="2" borderId="4" xfId="0" applyFont="1" applyFill="1" applyBorder="1" applyAlignment="1"/>
    <xf numFmtId="0" fontId="7" fillId="2" borderId="0" xfId="0" applyFont="1" applyFill="1" applyBorder="1" applyAlignment="1"/>
    <xf numFmtId="0" fontId="8" fillId="2" borderId="1" xfId="0" applyFont="1" applyFill="1" applyBorder="1" applyAlignment="1"/>
    <xf numFmtId="0" fontId="0" fillId="0" borderId="0" xfId="0" applyBorder="1" applyAlignment="1"/>
    <xf numFmtId="0" fontId="2" fillId="2" borderId="9" xfId="0" applyFont="1" applyFill="1" applyBorder="1" applyAlignment="1"/>
    <xf numFmtId="0" fontId="5" fillId="2" borderId="0" xfId="0" applyFont="1" applyFill="1" applyBorder="1" applyAlignment="1"/>
    <xf numFmtId="0" fontId="6" fillId="2" borderId="0" xfId="0" applyFont="1" applyFill="1" applyBorder="1" applyAlignment="1"/>
    <xf numFmtId="0" fontId="6" fillId="2" borderId="4" xfId="0" applyFont="1" applyFill="1" applyBorder="1" applyAlignment="1"/>
    <xf numFmtId="0" fontId="2" fillId="2" borderId="5" xfId="0" applyFont="1" applyFill="1" applyBorder="1" applyAlignment="1"/>
    <xf numFmtId="0" fontId="0" fillId="0" borderId="46" xfId="0" applyBorder="1" applyAlignment="1"/>
    <xf numFmtId="0" fontId="0" fillId="0" borderId="45" xfId="0" applyBorder="1" applyAlignment="1"/>
    <xf numFmtId="0" fontId="7" fillId="2" borderId="0" xfId="0" applyFont="1" applyFill="1" applyBorder="1" applyAlignment="1" applyProtection="1">
      <alignment wrapText="1"/>
    </xf>
    <xf numFmtId="0" fontId="2" fillId="2" borderId="2" xfId="0" applyFont="1" applyFill="1" applyBorder="1" applyAlignment="1"/>
    <xf numFmtId="3" fontId="2" fillId="2" borderId="0" xfId="0" applyNumberFormat="1" applyFont="1" applyFill="1"/>
    <xf numFmtId="9" fontId="7" fillId="2" borderId="0" xfId="0" applyNumberFormat="1" applyFont="1" applyFill="1"/>
    <xf numFmtId="10" fontId="2" fillId="2" borderId="44" xfId="3" applyNumberFormat="1" applyFont="1" applyFill="1" applyBorder="1"/>
    <xf numFmtId="3" fontId="2" fillId="2" borderId="16" xfId="3" applyNumberFormat="1" applyFont="1" applyFill="1" applyBorder="1"/>
    <xf numFmtId="3" fontId="2" fillId="0" borderId="5" xfId="3" applyNumberFormat="1" applyFont="1" applyFill="1" applyBorder="1"/>
    <xf numFmtId="3" fontId="2" fillId="0" borderId="17" xfId="3" applyNumberFormat="1" applyFont="1" applyFill="1" applyBorder="1"/>
    <xf numFmtId="3" fontId="2" fillId="0" borderId="6" xfId="3" applyNumberFormat="1" applyFont="1" applyFill="1" applyBorder="1"/>
    <xf numFmtId="9" fontId="2" fillId="2" borderId="16" xfId="3" applyFont="1" applyFill="1" applyBorder="1"/>
    <xf numFmtId="10" fontId="2" fillId="2" borderId="7" xfId="3" applyNumberFormat="1" applyFont="1" applyFill="1" applyBorder="1"/>
    <xf numFmtId="0" fontId="2" fillId="2" borderId="33" xfId="0" applyFont="1" applyFill="1" applyBorder="1"/>
    <xf numFmtId="0" fontId="2" fillId="2" borderId="46" xfId="0" applyFont="1" applyFill="1" applyBorder="1"/>
    <xf numFmtId="164" fontId="2" fillId="2" borderId="44" xfId="1" applyNumberFormat="1" applyFont="1" applyFill="1" applyBorder="1"/>
    <xf numFmtId="164" fontId="2" fillId="6" borderId="46" xfId="1" applyNumberFormat="1" applyFont="1" applyFill="1" applyBorder="1" applyProtection="1">
      <protection locked="0"/>
    </xf>
    <xf numFmtId="164" fontId="2" fillId="6" borderId="35" xfId="1" applyNumberFormat="1" applyFont="1" applyFill="1" applyBorder="1" applyProtection="1">
      <protection locked="0"/>
    </xf>
    <xf numFmtId="164" fontId="2" fillId="6" borderId="45" xfId="1" applyNumberFormat="1" applyFont="1" applyFill="1" applyBorder="1" applyProtection="1">
      <protection locked="0"/>
    </xf>
    <xf numFmtId="0" fontId="0" fillId="0" borderId="46" xfId="0" applyBorder="1" applyAlignment="1"/>
    <xf numFmtId="0" fontId="0" fillId="0" borderId="45" xfId="0" applyBorder="1" applyAlignment="1"/>
    <xf numFmtId="0" fontId="5" fillId="2" borderId="0" xfId="0" applyFont="1" applyFill="1" applyBorder="1" applyAlignment="1"/>
    <xf numFmtId="0" fontId="5" fillId="2" borderId="5" xfId="0" applyFont="1" applyFill="1" applyBorder="1" applyAlignment="1"/>
    <xf numFmtId="3" fontId="9" fillId="2" borderId="0" xfId="0" applyNumberFormat="1" applyFont="1" applyFill="1" applyBorder="1" applyAlignment="1" applyProtection="1">
      <alignment horizontal="right"/>
    </xf>
    <xf numFmtId="0" fontId="26" fillId="2" borderId="14" xfId="0" applyFont="1" applyFill="1" applyBorder="1" applyAlignment="1" applyProtection="1">
      <alignment horizontal="right"/>
    </xf>
    <xf numFmtId="0" fontId="26" fillId="2" borderId="73" xfId="0" applyFont="1" applyFill="1" applyBorder="1" applyAlignment="1" applyProtection="1">
      <alignment horizontal="right"/>
    </xf>
    <xf numFmtId="0" fontId="26" fillId="2" borderId="1" xfId="0" applyFont="1" applyFill="1" applyBorder="1" applyAlignment="1" applyProtection="1">
      <alignment horizontal="right"/>
    </xf>
    <xf numFmtId="0" fontId="26" fillId="2" borderId="11" xfId="0" applyFont="1" applyFill="1" applyBorder="1" applyAlignment="1" applyProtection="1">
      <alignment horizontal="left"/>
    </xf>
    <xf numFmtId="0" fontId="26" fillId="2" borderId="46" xfId="0" applyFont="1" applyFill="1" applyBorder="1" applyProtection="1"/>
    <xf numFmtId="0" fontId="26" fillId="2" borderId="45" xfId="0" applyFont="1" applyFill="1" applyBorder="1" applyProtection="1"/>
    <xf numFmtId="0" fontId="26" fillId="2" borderId="10" xfId="0" applyFont="1" applyFill="1" applyBorder="1" applyAlignment="1" applyProtection="1">
      <alignment horizontal="left"/>
    </xf>
    <xf numFmtId="0" fontId="26" fillId="2" borderId="33" xfId="0" applyFont="1" applyFill="1" applyBorder="1" applyAlignment="1" applyProtection="1">
      <alignment horizontal="left"/>
    </xf>
    <xf numFmtId="0" fontId="26" fillId="2" borderId="46" xfId="0" applyFont="1" applyFill="1" applyBorder="1" applyAlignment="1" applyProtection="1">
      <alignment horizontal="right"/>
    </xf>
    <xf numFmtId="0" fontId="9" fillId="2" borderId="0" xfId="0" applyFont="1" applyFill="1" applyBorder="1" applyAlignment="1" applyProtection="1"/>
    <xf numFmtId="0" fontId="5" fillId="2" borderId="5" xfId="0" applyFont="1" applyFill="1" applyBorder="1" applyAlignment="1" applyProtection="1"/>
    <xf numFmtId="3" fontId="7" fillId="2" borderId="16" xfId="0" applyNumberFormat="1" applyFont="1" applyFill="1" applyBorder="1" applyAlignment="1" applyProtection="1">
      <alignment horizontal="right"/>
    </xf>
    <xf numFmtId="0" fontId="7" fillId="2" borderId="4" xfId="0" applyFont="1" applyFill="1" applyBorder="1"/>
    <xf numFmtId="164" fontId="9" fillId="4" borderId="11" xfId="0" applyNumberFormat="1" applyFont="1" applyFill="1" applyBorder="1"/>
    <xf numFmtId="164" fontId="9" fillId="4" borderId="0" xfId="0" applyNumberFormat="1" applyFont="1" applyFill="1"/>
    <xf numFmtId="164" fontId="9" fillId="2" borderId="44" xfId="0" applyNumberFormat="1" applyFont="1" applyFill="1" applyBorder="1"/>
    <xf numFmtId="0" fontId="2" fillId="2" borderId="30" xfId="0" applyFont="1" applyFill="1" applyBorder="1"/>
    <xf numFmtId="164" fontId="9" fillId="2" borderId="12" xfId="0" applyNumberFormat="1" applyFont="1" applyFill="1" applyBorder="1"/>
    <xf numFmtId="164" fontId="2" fillId="2" borderId="4" xfId="1" applyNumberFormat="1" applyFont="1" applyFill="1" applyBorder="1"/>
    <xf numFmtId="0" fontId="6" fillId="0" borderId="0" xfId="0" applyFont="1" applyFill="1" applyBorder="1"/>
    <xf numFmtId="0" fontId="6" fillId="0" borderId="0" xfId="0" applyFont="1" applyFill="1" applyBorder="1" applyAlignment="1"/>
    <xf numFmtId="0" fontId="0" fillId="0" borderId="0" xfId="0" applyFill="1" applyBorder="1"/>
    <xf numFmtId="0" fontId="39" fillId="2" borderId="0" xfId="0" applyFont="1" applyFill="1" applyAlignment="1"/>
    <xf numFmtId="0" fontId="39" fillId="2" borderId="0" xfId="0" applyFont="1" applyFill="1" applyProtection="1"/>
    <xf numFmtId="0" fontId="2" fillId="2" borderId="4" xfId="0" applyFont="1" applyFill="1" applyBorder="1" applyAlignment="1"/>
    <xf numFmtId="0" fontId="6" fillId="2" borderId="0" xfId="0" applyFont="1" applyFill="1" applyBorder="1" applyAlignment="1"/>
    <xf numFmtId="0" fontId="6" fillId="2" borderId="4" xfId="0" applyFont="1" applyFill="1" applyBorder="1" applyAlignment="1"/>
    <xf numFmtId="0" fontId="5" fillId="2" borderId="5" xfId="0" applyFont="1" applyFill="1" applyBorder="1" applyAlignment="1"/>
    <xf numFmtId="0" fontId="5" fillId="2" borderId="0" xfId="0" applyFont="1" applyFill="1" applyBorder="1" applyAlignment="1"/>
    <xf numFmtId="0" fontId="5" fillId="2" borderId="4" xfId="0" applyFont="1" applyFill="1" applyBorder="1" applyAlignment="1"/>
    <xf numFmtId="0" fontId="2" fillId="2" borderId="0" xfId="0" applyFont="1" applyFill="1" applyBorder="1" applyAlignment="1"/>
    <xf numFmtId="0" fontId="0" fillId="2" borderId="5" xfId="0" applyFont="1" applyFill="1" applyBorder="1" applyAlignment="1"/>
    <xf numFmtId="0" fontId="0" fillId="2" borderId="0" xfId="0" applyFont="1" applyFill="1" applyBorder="1" applyAlignment="1"/>
    <xf numFmtId="0" fontId="5" fillId="2" borderId="44" xfId="0" applyFont="1" applyFill="1" applyBorder="1" applyAlignment="1">
      <alignment horizontal="right"/>
    </xf>
    <xf numFmtId="0" fontId="0" fillId="0" borderId="0" xfId="0" applyAlignment="1"/>
    <xf numFmtId="0" fontId="0" fillId="0" borderId="1" xfId="0" applyBorder="1" applyAlignment="1"/>
    <xf numFmtId="0" fontId="0" fillId="0" borderId="2" xfId="0" applyBorder="1" applyAlignment="1"/>
    <xf numFmtId="0" fontId="2" fillId="2" borderId="9" xfId="0" applyFont="1" applyFill="1" applyBorder="1" applyAlignment="1"/>
    <xf numFmtId="0" fontId="2" fillId="2" borderId="0" xfId="0" applyFont="1" applyFill="1" applyBorder="1" applyAlignment="1"/>
    <xf numFmtId="0" fontId="2" fillId="2" borderId="4" xfId="0" applyFont="1" applyFill="1" applyBorder="1" applyAlignment="1"/>
    <xf numFmtId="0" fontId="0" fillId="0" borderId="0" xfId="0" applyBorder="1" applyAlignment="1"/>
    <xf numFmtId="0" fontId="0" fillId="0" borderId="4" xfId="0" applyBorder="1" applyAlignment="1"/>
    <xf numFmtId="0" fontId="2" fillId="2" borderId="3" xfId="0" applyFont="1" applyFill="1" applyBorder="1" applyAlignment="1"/>
    <xf numFmtId="0" fontId="6" fillId="2" borderId="0" xfId="0" applyFont="1" applyFill="1" applyBorder="1" applyAlignment="1"/>
    <xf numFmtId="0" fontId="6" fillId="2" borderId="4" xfId="0" applyFont="1" applyFill="1" applyBorder="1" applyAlignment="1"/>
    <xf numFmtId="0" fontId="5" fillId="2" borderId="0" xfId="0" applyFont="1" applyFill="1" applyBorder="1" applyAlignment="1"/>
    <xf numFmtId="0" fontId="6" fillId="2" borderId="5" xfId="0" applyFont="1" applyFill="1" applyBorder="1" applyAlignment="1"/>
    <xf numFmtId="0" fontId="2" fillId="2" borderId="5" xfId="0" applyFont="1" applyFill="1" applyBorder="1" applyAlignment="1"/>
    <xf numFmtId="0" fontId="2" fillId="2" borderId="6" xfId="0" applyFont="1" applyFill="1" applyBorder="1" applyAlignment="1" applyProtection="1"/>
    <xf numFmtId="3" fontId="37" fillId="6" borderId="13" xfId="1" applyNumberFormat="1" applyFont="1" applyFill="1" applyBorder="1" applyProtection="1"/>
    <xf numFmtId="3" fontId="6" fillId="6" borderId="13" xfId="1" applyNumberFormat="1" applyFont="1" applyFill="1" applyBorder="1" applyProtection="1"/>
    <xf numFmtId="0" fontId="5" fillId="6" borderId="8" xfId="0" applyFont="1" applyFill="1" applyBorder="1" applyProtection="1"/>
    <xf numFmtId="0" fontId="2" fillId="2" borderId="0" xfId="0" applyFont="1" applyFill="1" applyBorder="1" applyAlignment="1" applyProtection="1">
      <alignment horizontal="left"/>
    </xf>
    <xf numFmtId="0" fontId="32" fillId="2" borderId="0" xfId="0" applyFont="1" applyFill="1" applyBorder="1" applyAlignment="1" applyProtection="1">
      <alignment horizontal="left"/>
    </xf>
    <xf numFmtId="3" fontId="14" fillId="6" borderId="13" xfId="0" applyNumberFormat="1" applyFont="1" applyFill="1" applyBorder="1" applyAlignment="1" applyProtection="1">
      <alignment horizontal="center" wrapText="1"/>
    </xf>
    <xf numFmtId="3" fontId="14" fillId="6" borderId="20" xfId="0" applyNumberFormat="1" applyFont="1" applyFill="1" applyBorder="1" applyAlignment="1" applyProtection="1">
      <alignment wrapText="1"/>
    </xf>
    <xf numFmtId="3" fontId="30" fillId="0" borderId="75" xfId="0" applyNumberFormat="1" applyFont="1" applyFill="1" applyBorder="1" applyAlignment="1" applyProtection="1">
      <alignment horizontal="center" wrapText="1"/>
    </xf>
    <xf numFmtId="3" fontId="30" fillId="6" borderId="62" xfId="0" applyNumberFormat="1" applyFont="1" applyFill="1" applyBorder="1" applyAlignment="1" applyProtection="1">
      <alignment wrapText="1"/>
    </xf>
    <xf numFmtId="0" fontId="9" fillId="6" borderId="0" xfId="0" applyFont="1" applyFill="1" applyBorder="1" applyProtection="1"/>
    <xf numFmtId="3" fontId="7" fillId="2" borderId="0" xfId="0" applyNumberFormat="1" applyFont="1" applyFill="1" applyProtection="1"/>
    <xf numFmtId="3" fontId="9" fillId="2" borderId="0" xfId="0" applyNumberFormat="1" applyFont="1" applyFill="1" applyBorder="1" applyProtection="1"/>
    <xf numFmtId="3" fontId="13" fillId="2" borderId="0" xfId="0" applyNumberFormat="1" applyFont="1" applyFill="1" applyProtection="1"/>
    <xf numFmtId="0" fontId="9" fillId="6" borderId="30" xfId="0" applyFont="1" applyFill="1" applyBorder="1"/>
    <xf numFmtId="0" fontId="9" fillId="6" borderId="0" xfId="0" applyFont="1" applyFill="1" applyBorder="1"/>
    <xf numFmtId="0" fontId="7" fillId="2" borderId="23" xfId="0" applyFont="1" applyFill="1" applyBorder="1"/>
    <xf numFmtId="0" fontId="7" fillId="2" borderId="28" xfId="0" applyFont="1" applyFill="1" applyBorder="1"/>
    <xf numFmtId="49" fontId="9" fillId="6" borderId="29" xfId="0" applyNumberFormat="1" applyFont="1" applyFill="1" applyBorder="1"/>
    <xf numFmtId="0" fontId="2" fillId="6" borderId="30" xfId="0" applyFont="1" applyFill="1" applyBorder="1"/>
    <xf numFmtId="3" fontId="9" fillId="3" borderId="7" xfId="0" applyNumberFormat="1" applyFont="1" applyFill="1" applyBorder="1" applyProtection="1">
      <protection locked="0"/>
    </xf>
    <xf numFmtId="3" fontId="9" fillId="2" borderId="84" xfId="0" applyNumberFormat="1" applyFont="1" applyFill="1" applyBorder="1" applyAlignment="1" applyProtection="1">
      <alignment horizontal="right"/>
    </xf>
    <xf numFmtId="3" fontId="7" fillId="2" borderId="21" xfId="0" applyNumberFormat="1" applyFont="1" applyFill="1" applyBorder="1" applyAlignment="1" applyProtection="1">
      <alignment horizontal="right"/>
    </xf>
    <xf numFmtId="0" fontId="2" fillId="2" borderId="10" xfId="0" applyFont="1" applyFill="1" applyBorder="1" applyProtection="1"/>
    <xf numFmtId="0" fontId="2" fillId="2" borderId="2" xfId="0" applyFont="1" applyFill="1" applyBorder="1" applyProtection="1"/>
    <xf numFmtId="0" fontId="2" fillId="0" borderId="12" xfId="0" applyFont="1" applyFill="1" applyBorder="1" applyAlignment="1" applyProtection="1">
      <alignment horizontal="left"/>
    </xf>
    <xf numFmtId="0" fontId="12" fillId="2" borderId="0" xfId="0" applyFont="1" applyFill="1" applyBorder="1" applyProtection="1"/>
    <xf numFmtId="0" fontId="2" fillId="2" borderId="12" xfId="0" applyFont="1" applyFill="1" applyBorder="1" applyProtection="1"/>
    <xf numFmtId="0" fontId="2" fillId="2" borderId="3" xfId="0" applyFont="1" applyFill="1" applyBorder="1" applyProtection="1"/>
    <xf numFmtId="0" fontId="2" fillId="2" borderId="4" xfId="0" applyFont="1" applyFill="1" applyBorder="1" applyProtection="1"/>
    <xf numFmtId="164" fontId="8" fillId="0" borderId="12" xfId="1" applyNumberFormat="1" applyFont="1" applyFill="1" applyBorder="1" applyAlignment="1" applyProtection="1"/>
    <xf numFmtId="0" fontId="2" fillId="2" borderId="2" xfId="0" applyFont="1" applyFill="1" applyBorder="1" applyAlignment="1" applyProtection="1"/>
    <xf numFmtId="164" fontId="2" fillId="2" borderId="0" xfId="1" applyNumberFormat="1" applyFont="1" applyFill="1" applyBorder="1" applyAlignment="1" applyProtection="1"/>
    <xf numFmtId="0" fontId="2" fillId="2" borderId="4" xfId="0" applyFont="1" applyFill="1" applyBorder="1" applyAlignment="1" applyProtection="1"/>
    <xf numFmtId="164" fontId="7" fillId="6" borderId="11" xfId="1" applyNumberFormat="1" applyFont="1" applyFill="1" applyBorder="1" applyAlignment="1" applyProtection="1"/>
    <xf numFmtId="164" fontId="7" fillId="0" borderId="13" xfId="1" applyNumberFormat="1" applyFont="1" applyFill="1" applyBorder="1" applyAlignment="1" applyProtection="1"/>
    <xf numFmtId="164" fontId="7" fillId="6" borderId="13" xfId="1" applyNumberFormat="1" applyFont="1" applyFill="1" applyBorder="1" applyAlignment="1" applyProtection="1"/>
    <xf numFmtId="164" fontId="7" fillId="6" borderId="14" xfId="1" applyNumberFormat="1" applyFont="1" applyFill="1" applyBorder="1" applyAlignment="1" applyProtection="1"/>
    <xf numFmtId="164" fontId="2" fillId="2" borderId="5" xfId="1" applyNumberFormat="1" applyFont="1" applyFill="1" applyBorder="1" applyAlignment="1" applyProtection="1"/>
    <xf numFmtId="164" fontId="8" fillId="2" borderId="12" xfId="1" applyNumberFormat="1" applyFont="1" applyFill="1" applyBorder="1" applyAlignment="1" applyProtection="1"/>
    <xf numFmtId="164" fontId="7" fillId="0" borderId="11" xfId="1" applyNumberFormat="1" applyFont="1" applyFill="1" applyBorder="1" applyAlignment="1" applyProtection="1"/>
    <xf numFmtId="164" fontId="9" fillId="6" borderId="13" xfId="1" applyNumberFormat="1" applyFont="1" applyFill="1" applyBorder="1" applyAlignment="1" applyProtection="1"/>
    <xf numFmtId="164" fontId="5" fillId="0" borderId="13" xfId="1" applyNumberFormat="1" applyFont="1" applyFill="1" applyBorder="1" applyAlignment="1" applyProtection="1"/>
    <xf numFmtId="3" fontId="6" fillId="6" borderId="14" xfId="1" applyNumberFormat="1" applyFont="1" applyFill="1" applyBorder="1" applyProtection="1"/>
    <xf numFmtId="164" fontId="2" fillId="2" borderId="0" xfId="1" applyNumberFormat="1" applyFont="1" applyFill="1" applyAlignment="1" applyProtection="1"/>
    <xf numFmtId="0" fontId="5" fillId="2" borderId="3" xfId="0" applyFont="1" applyFill="1" applyBorder="1" applyAlignment="1" applyProtection="1">
      <alignment horizontal="left"/>
    </xf>
    <xf numFmtId="0" fontId="0" fillId="2" borderId="0" xfId="0" applyFill="1" applyBorder="1" applyAlignment="1" applyProtection="1"/>
    <xf numFmtId="3" fontId="5" fillId="2" borderId="1" xfId="1" applyNumberFormat="1" applyFont="1" applyFill="1" applyBorder="1" applyProtection="1"/>
    <xf numFmtId="0" fontId="2" fillId="5" borderId="11" xfId="0" applyFont="1" applyFill="1" applyBorder="1" applyProtection="1"/>
    <xf numFmtId="0" fontId="2" fillId="5" borderId="2" xfId="0" applyFont="1" applyFill="1" applyBorder="1" applyProtection="1"/>
    <xf numFmtId="3" fontId="5" fillId="2" borderId="0" xfId="1" applyNumberFormat="1" applyFont="1" applyFill="1" applyBorder="1" applyProtection="1"/>
    <xf numFmtId="0" fontId="2" fillId="5" borderId="13" xfId="0" applyFont="1" applyFill="1" applyBorder="1" applyProtection="1"/>
    <xf numFmtId="0" fontId="2" fillId="5" borderId="14" xfId="0" applyFont="1" applyFill="1" applyBorder="1" applyProtection="1"/>
    <xf numFmtId="0" fontId="2" fillId="5" borderId="6" xfId="0" applyFont="1" applyFill="1" applyBorder="1" applyProtection="1"/>
    <xf numFmtId="0" fontId="5" fillId="2" borderId="0" xfId="0" applyFont="1" applyFill="1" applyBorder="1" applyAlignment="1" applyProtection="1">
      <alignment horizontal="left"/>
    </xf>
    <xf numFmtId="3" fontId="8" fillId="0" borderId="12" xfId="1" applyNumberFormat="1" applyFont="1" applyFill="1" applyBorder="1" applyProtection="1"/>
    <xf numFmtId="3" fontId="2" fillId="7" borderId="0" xfId="0" applyNumberFormat="1" applyFont="1" applyFill="1" applyAlignment="1" applyProtection="1"/>
    <xf numFmtId="3" fontId="8" fillId="0" borderId="33" xfId="1" applyNumberFormat="1" applyFont="1" applyFill="1" applyBorder="1" applyProtection="1"/>
    <xf numFmtId="0" fontId="2" fillId="2" borderId="3" xfId="0" applyFont="1" applyFill="1" applyBorder="1" applyAlignment="1" applyProtection="1">
      <alignment horizontal="left"/>
    </xf>
    <xf numFmtId="0" fontId="6" fillId="2" borderId="0" xfId="0" applyFont="1" applyFill="1" applyBorder="1" applyProtection="1"/>
    <xf numFmtId="164" fontId="2" fillId="2" borderId="0" xfId="1" applyNumberFormat="1" applyFont="1" applyFill="1" applyBorder="1" applyProtection="1"/>
    <xf numFmtId="0" fontId="2" fillId="2" borderId="5" xfId="0" applyFont="1" applyFill="1" applyBorder="1" applyProtection="1"/>
    <xf numFmtId="3" fontId="5" fillId="2" borderId="46" xfId="1" applyNumberFormat="1" applyFont="1" applyFill="1" applyBorder="1" applyProtection="1"/>
    <xf numFmtId="3" fontId="5" fillId="0" borderId="11" xfId="1" applyNumberFormat="1" applyFont="1" applyFill="1" applyBorder="1" applyProtection="1"/>
    <xf numFmtId="3" fontId="5" fillId="0" borderId="10" xfId="1" applyNumberFormat="1" applyFont="1" applyFill="1" applyBorder="1" applyProtection="1"/>
    <xf numFmtId="3" fontId="5" fillId="6" borderId="12" xfId="1" applyNumberFormat="1" applyFont="1" applyFill="1" applyBorder="1" applyProtection="1"/>
    <xf numFmtId="3" fontId="5" fillId="6" borderId="46" xfId="1" applyNumberFormat="1" applyFont="1" applyFill="1" applyBorder="1" applyProtection="1"/>
    <xf numFmtId="164" fontId="2" fillId="2" borderId="0" xfId="1" applyNumberFormat="1" applyFont="1" applyFill="1" applyProtection="1"/>
    <xf numFmtId="0" fontId="5" fillId="2" borderId="1" xfId="0" applyFont="1" applyFill="1" applyBorder="1" applyAlignment="1" applyProtection="1"/>
    <xf numFmtId="0" fontId="0" fillId="2" borderId="1" xfId="0" applyFill="1" applyBorder="1" applyAlignment="1" applyProtection="1"/>
    <xf numFmtId="9" fontId="7" fillId="2" borderId="0" xfId="0" applyNumberFormat="1" applyFont="1" applyFill="1" applyProtection="1"/>
    <xf numFmtId="0" fontId="2" fillId="5" borderId="10" xfId="0" applyFont="1" applyFill="1" applyBorder="1" applyProtection="1"/>
    <xf numFmtId="0" fontId="2" fillId="5" borderId="1" xfId="0" applyFont="1" applyFill="1" applyBorder="1" applyProtection="1"/>
    <xf numFmtId="0" fontId="5" fillId="5" borderId="3" xfId="0" applyFont="1" applyFill="1" applyBorder="1" applyProtection="1"/>
    <xf numFmtId="0" fontId="2" fillId="5" borderId="0" xfId="0" applyFont="1" applyFill="1" applyBorder="1" applyProtection="1"/>
    <xf numFmtId="0" fontId="2" fillId="5" borderId="4" xfId="0" applyFont="1" applyFill="1" applyBorder="1" applyProtection="1"/>
    <xf numFmtId="0" fontId="2" fillId="5" borderId="5" xfId="0" applyFont="1" applyFill="1" applyBorder="1" applyProtection="1"/>
    <xf numFmtId="0" fontId="2" fillId="5" borderId="9" xfId="0" applyFont="1" applyFill="1" applyBorder="1" applyProtection="1"/>
    <xf numFmtId="0" fontId="5" fillId="2" borderId="12" xfId="0" applyFont="1" applyFill="1" applyBorder="1" applyAlignment="1" applyProtection="1">
      <alignment horizontal="right"/>
    </xf>
    <xf numFmtId="0" fontId="0" fillId="0" borderId="46" xfId="0" applyBorder="1" applyAlignment="1" applyProtection="1"/>
    <xf numFmtId="0" fontId="0" fillId="0" borderId="45" xfId="0" applyBorder="1" applyAlignment="1" applyProtection="1"/>
    <xf numFmtId="0" fontId="7" fillId="2" borderId="12" xfId="0" applyFont="1" applyFill="1" applyBorder="1" applyProtection="1"/>
    <xf numFmtId="0" fontId="7" fillId="2" borderId="52" xfId="0" applyFont="1" applyFill="1" applyBorder="1" applyProtection="1"/>
    <xf numFmtId="0" fontId="7" fillId="2" borderId="34" xfId="0" applyFont="1" applyFill="1" applyBorder="1" applyProtection="1"/>
    <xf numFmtId="0" fontId="7" fillId="2" borderId="35" xfId="0" applyFont="1" applyFill="1" applyBorder="1" applyProtection="1"/>
    <xf numFmtId="0" fontId="7" fillId="2" borderId="47" xfId="0" applyFont="1" applyFill="1" applyBorder="1" applyProtection="1"/>
    <xf numFmtId="3" fontId="8" fillId="0" borderId="53" xfId="1" applyNumberFormat="1" applyFont="1" applyFill="1" applyBorder="1" applyProtection="1"/>
    <xf numFmtId="3" fontId="5" fillId="6" borderId="10" xfId="1" applyNumberFormat="1" applyFont="1" applyFill="1" applyBorder="1" applyProtection="1"/>
    <xf numFmtId="3" fontId="5" fillId="6" borderId="51" xfId="1" applyNumberFormat="1" applyFont="1" applyFill="1" applyBorder="1" applyProtection="1"/>
    <xf numFmtId="3" fontId="5" fillId="6" borderId="77" xfId="1" applyNumberFormat="1" applyFont="1" applyFill="1" applyBorder="1" applyProtection="1"/>
    <xf numFmtId="3" fontId="5" fillId="6" borderId="11" xfId="1" applyNumberFormat="1" applyFont="1" applyFill="1" applyBorder="1" applyProtection="1"/>
    <xf numFmtId="3" fontId="5" fillId="6" borderId="3" xfId="1" applyNumberFormat="1" applyFont="1" applyFill="1" applyBorder="1" applyProtection="1"/>
    <xf numFmtId="3" fontId="5" fillId="6" borderId="66" xfId="1" applyNumberFormat="1" applyFont="1" applyFill="1" applyBorder="1" applyProtection="1"/>
    <xf numFmtId="3" fontId="5" fillId="6" borderId="0" xfId="1" applyNumberFormat="1" applyFont="1" applyFill="1" applyBorder="1" applyProtection="1"/>
    <xf numFmtId="3" fontId="5" fillId="6" borderId="13" xfId="1" applyNumberFormat="1" applyFont="1" applyFill="1" applyBorder="1" applyProtection="1"/>
    <xf numFmtId="3" fontId="6" fillId="6" borderId="3" xfId="1" applyNumberFormat="1" applyFont="1" applyFill="1" applyBorder="1" applyProtection="1"/>
    <xf numFmtId="0" fontId="5" fillId="2" borderId="9" xfId="0" applyFont="1" applyFill="1" applyBorder="1" applyAlignment="1" applyProtection="1">
      <alignment horizontal="left"/>
    </xf>
    <xf numFmtId="0" fontId="0" fillId="2" borderId="5" xfId="0" applyFont="1" applyFill="1" applyBorder="1" applyAlignment="1" applyProtection="1"/>
    <xf numFmtId="0" fontId="0" fillId="2" borderId="0" xfId="0" applyFont="1" applyFill="1" applyBorder="1" applyAlignment="1" applyProtection="1"/>
    <xf numFmtId="0" fontId="6" fillId="2" borderId="0" xfId="0" applyFont="1" applyFill="1" applyBorder="1" applyAlignment="1" applyProtection="1">
      <alignment horizontal="left"/>
    </xf>
    <xf numFmtId="3" fontId="6" fillId="6" borderId="66" xfId="1" applyNumberFormat="1" applyFont="1" applyFill="1" applyBorder="1" applyProtection="1"/>
    <xf numFmtId="0" fontId="6" fillId="2" borderId="0" xfId="0" applyFont="1" applyFill="1" applyBorder="1" applyAlignment="1" applyProtection="1"/>
    <xf numFmtId="0" fontId="5" fillId="2" borderId="4" xfId="0" applyFont="1" applyFill="1" applyBorder="1" applyAlignment="1" applyProtection="1"/>
    <xf numFmtId="0" fontId="5" fillId="2" borderId="1" xfId="0" applyFont="1" applyFill="1" applyBorder="1" applyAlignment="1" applyProtection="1">
      <alignment horizontal="left"/>
    </xf>
    <xf numFmtId="3" fontId="8" fillId="0" borderId="46" xfId="1" applyNumberFormat="1" applyFont="1" applyFill="1" applyBorder="1" applyProtection="1"/>
    <xf numFmtId="0" fontId="2" fillId="2" borderId="0" xfId="0" applyFont="1" applyFill="1" applyAlignment="1" applyProtection="1">
      <alignment horizontal="left"/>
    </xf>
    <xf numFmtId="164" fontId="2" fillId="7" borderId="0" xfId="1" applyNumberFormat="1" applyFont="1" applyFill="1" applyProtection="1"/>
    <xf numFmtId="0" fontId="0" fillId="0" borderId="0" xfId="0" applyAlignment="1" applyProtection="1"/>
    <xf numFmtId="3" fontId="5" fillId="5" borderId="0" xfId="0" applyNumberFormat="1" applyFont="1" applyFill="1" applyProtection="1"/>
    <xf numFmtId="0" fontId="2" fillId="5" borderId="0" xfId="0" applyFont="1" applyFill="1" applyProtection="1"/>
    <xf numFmtId="0" fontId="11" fillId="6" borderId="0" xfId="0" applyFont="1" applyFill="1" applyAlignment="1" applyProtection="1"/>
    <xf numFmtId="0" fontId="5" fillId="5" borderId="12" xfId="0" applyFont="1" applyFill="1" applyBorder="1" applyProtection="1"/>
    <xf numFmtId="0" fontId="5" fillId="5" borderId="52" xfId="0" applyFont="1" applyFill="1" applyBorder="1" applyProtection="1"/>
    <xf numFmtId="0" fontId="5" fillId="5" borderId="50" xfId="0" applyFont="1" applyFill="1" applyBorder="1" applyProtection="1"/>
    <xf numFmtId="0" fontId="5" fillId="5" borderId="45" xfId="0" applyFont="1" applyFill="1" applyBorder="1" applyProtection="1"/>
    <xf numFmtId="0" fontId="7" fillId="2" borderId="0" xfId="0" applyFont="1" applyFill="1" applyBorder="1" applyAlignment="1" applyProtection="1"/>
    <xf numFmtId="0" fontId="5" fillId="5" borderId="0" xfId="0" applyFont="1" applyFill="1" applyBorder="1" applyProtection="1"/>
    <xf numFmtId="0" fontId="7" fillId="2" borderId="10" xfId="0" applyFont="1" applyFill="1" applyBorder="1" applyAlignment="1" applyProtection="1">
      <alignment horizontal="left"/>
    </xf>
    <xf numFmtId="0" fontId="8" fillId="2" borderId="1" xfId="0" applyFont="1" applyFill="1" applyBorder="1" applyAlignment="1" applyProtection="1"/>
    <xf numFmtId="0" fontId="0" fillId="0" borderId="1" xfId="0" applyBorder="1" applyAlignment="1" applyProtection="1"/>
    <xf numFmtId="0" fontId="2" fillId="2" borderId="1" xfId="0" applyFont="1" applyFill="1" applyBorder="1" applyAlignment="1" applyProtection="1"/>
    <xf numFmtId="0" fontId="2" fillId="2" borderId="42" xfId="0" applyFont="1" applyFill="1" applyBorder="1" applyAlignment="1" applyProtection="1"/>
    <xf numFmtId="0" fontId="2" fillId="2" borderId="15" xfId="0" applyFont="1" applyFill="1" applyBorder="1" applyAlignment="1" applyProtection="1"/>
    <xf numFmtId="0" fontId="2" fillId="2" borderId="18" xfId="0" applyFont="1" applyFill="1" applyBorder="1" applyAlignment="1" applyProtection="1"/>
    <xf numFmtId="0" fontId="7" fillId="6" borderId="3" xfId="0" applyFont="1" applyFill="1" applyBorder="1" applyAlignment="1" applyProtection="1">
      <alignment horizontal="left"/>
    </xf>
    <xf numFmtId="0" fontId="7" fillId="6" borderId="0" xfId="0" applyFont="1" applyFill="1" applyBorder="1" applyAlignment="1" applyProtection="1"/>
    <xf numFmtId="0" fontId="0" fillId="6" borderId="0" xfId="0" applyFill="1" applyBorder="1" applyAlignment="1" applyProtection="1"/>
    <xf numFmtId="0" fontId="2" fillId="6" borderId="0" xfId="0" applyFont="1" applyFill="1" applyBorder="1" applyAlignment="1" applyProtection="1"/>
    <xf numFmtId="0" fontId="2" fillId="6" borderId="42" xfId="0" applyFont="1" applyFill="1" applyBorder="1" applyAlignment="1" applyProtection="1"/>
    <xf numFmtId="0" fontId="2" fillId="6" borderId="15" xfId="0" applyFont="1" applyFill="1" applyBorder="1" applyAlignment="1" applyProtection="1"/>
    <xf numFmtId="0" fontId="2" fillId="6" borderId="18" xfId="0" applyFont="1" applyFill="1" applyBorder="1" applyAlignment="1" applyProtection="1"/>
    <xf numFmtId="0" fontId="7" fillId="2" borderId="3" xfId="0" applyFont="1" applyFill="1" applyBorder="1" applyAlignment="1" applyProtection="1">
      <alignment horizontal="left"/>
    </xf>
    <xf numFmtId="0" fontId="6" fillId="6" borderId="0" xfId="0" applyFont="1" applyFill="1" applyBorder="1" applyAlignment="1" applyProtection="1"/>
    <xf numFmtId="3" fontId="6" fillId="6" borderId="0" xfId="0" applyNumberFormat="1" applyFont="1" applyFill="1" applyBorder="1" applyProtection="1"/>
    <xf numFmtId="3" fontId="6" fillId="6" borderId="42" xfId="0" applyNumberFormat="1" applyFont="1" applyFill="1" applyBorder="1" applyProtection="1"/>
    <xf numFmtId="3" fontId="6" fillId="6" borderId="15" xfId="0" applyNumberFormat="1" applyFont="1" applyFill="1" applyBorder="1" applyProtection="1"/>
    <xf numFmtId="3" fontId="6" fillId="6" borderId="18" xfId="0" applyNumberFormat="1" applyFont="1" applyFill="1" applyBorder="1" applyProtection="1"/>
    <xf numFmtId="0" fontId="7" fillId="2" borderId="9" xfId="0" applyFont="1" applyFill="1" applyBorder="1" applyAlignment="1" applyProtection="1">
      <alignment horizontal="left"/>
    </xf>
    <xf numFmtId="0" fontId="6" fillId="6" borderId="5" xfId="0" applyFont="1" applyFill="1" applyBorder="1" applyAlignment="1" applyProtection="1"/>
    <xf numFmtId="0" fontId="6" fillId="2" borderId="5" xfId="0" applyFont="1" applyFill="1" applyBorder="1" applyAlignment="1" applyProtection="1"/>
    <xf numFmtId="3" fontId="6" fillId="6" borderId="43" xfId="0" applyNumberFormat="1" applyFont="1" applyFill="1" applyBorder="1" applyProtection="1"/>
    <xf numFmtId="0" fontId="2" fillId="2" borderId="74" xfId="0" applyFont="1" applyFill="1" applyBorder="1" applyAlignment="1" applyProtection="1"/>
    <xf numFmtId="0" fontId="2" fillId="2" borderId="17" xfId="0" applyFont="1" applyFill="1" applyBorder="1" applyAlignment="1" applyProtection="1"/>
    <xf numFmtId="0" fontId="2" fillId="2" borderId="21" xfId="0" applyFont="1" applyFill="1" applyBorder="1" applyAlignment="1" applyProtection="1"/>
    <xf numFmtId="0" fontId="0" fillId="6" borderId="5" xfId="0" applyFill="1" applyBorder="1" applyAlignment="1" applyProtection="1"/>
    <xf numFmtId="3" fontId="2" fillId="2" borderId="0" xfId="0" applyNumberFormat="1" applyFont="1" applyFill="1" applyAlignment="1" applyProtection="1"/>
    <xf numFmtId="0" fontId="4" fillId="2" borderId="0" xfId="0" applyFont="1" applyFill="1" applyProtection="1"/>
    <xf numFmtId="49" fontId="9" fillId="2" borderId="10" xfId="0" applyNumberFormat="1" applyFont="1" applyFill="1" applyBorder="1" applyAlignment="1" applyProtection="1">
      <alignment horizontal="center"/>
    </xf>
    <xf numFmtId="49" fontId="9" fillId="2" borderId="1" xfId="0" applyNumberFormat="1" applyFont="1" applyFill="1" applyBorder="1" applyAlignment="1" applyProtection="1">
      <alignment horizontal="center"/>
    </xf>
    <xf numFmtId="0" fontId="9" fillId="2" borderId="1" xfId="0" applyFont="1" applyFill="1" applyBorder="1" applyProtection="1"/>
    <xf numFmtId="0" fontId="5" fillId="2" borderId="12" xfId="0" applyFont="1" applyFill="1" applyBorder="1" applyAlignment="1" applyProtection="1">
      <alignment horizontal="center"/>
    </xf>
    <xf numFmtId="0" fontId="5" fillId="2" borderId="44" xfId="0" applyFont="1" applyFill="1" applyBorder="1" applyAlignment="1" applyProtection="1">
      <alignment horizontal="right"/>
    </xf>
    <xf numFmtId="0" fontId="7" fillId="2" borderId="49" xfId="0" applyFont="1" applyFill="1" applyBorder="1" applyAlignment="1" applyProtection="1">
      <alignment horizontal="right"/>
    </xf>
    <xf numFmtId="0" fontId="7" fillId="2" borderId="1" xfId="0" applyFont="1" applyFill="1" applyBorder="1" applyProtection="1"/>
    <xf numFmtId="49" fontId="7" fillId="2" borderId="9" xfId="0" applyNumberFormat="1" applyFont="1" applyFill="1" applyBorder="1" applyProtection="1"/>
    <xf numFmtId="0" fontId="7" fillId="2" borderId="44" xfId="0" applyFont="1" applyFill="1" applyBorder="1" applyProtection="1"/>
    <xf numFmtId="0" fontId="7" fillId="2" borderId="49" xfId="0" applyFont="1" applyFill="1" applyBorder="1" applyProtection="1"/>
    <xf numFmtId="0" fontId="7" fillId="2" borderId="50" xfId="0" applyFont="1" applyFill="1" applyBorder="1" applyProtection="1"/>
    <xf numFmtId="49" fontId="9" fillId="2" borderId="10" xfId="0" applyNumberFormat="1" applyFont="1" applyFill="1" applyBorder="1" applyProtection="1"/>
    <xf numFmtId="3" fontId="9" fillId="2" borderId="48" xfId="0" applyNumberFormat="1" applyFont="1" applyFill="1" applyBorder="1" applyAlignment="1" applyProtection="1">
      <alignment horizontal="right"/>
    </xf>
    <xf numFmtId="3" fontId="9" fillId="2" borderId="40" xfId="0" applyNumberFormat="1" applyFont="1" applyFill="1" applyBorder="1" applyAlignment="1" applyProtection="1">
      <alignment horizontal="right"/>
    </xf>
    <xf numFmtId="3" fontId="9" fillId="2" borderId="23" xfId="0" applyNumberFormat="1" applyFont="1" applyFill="1" applyBorder="1" applyAlignment="1" applyProtection="1">
      <alignment horizontal="right"/>
    </xf>
    <xf numFmtId="3" fontId="9" fillId="2" borderId="28" xfId="0" applyNumberFormat="1" applyFont="1" applyFill="1" applyBorder="1" applyAlignment="1" applyProtection="1">
      <alignment horizontal="right"/>
    </xf>
    <xf numFmtId="0" fontId="4" fillId="2" borderId="0" xfId="0" applyFont="1" applyFill="1" applyBorder="1" applyProtection="1"/>
    <xf numFmtId="49" fontId="9" fillId="2" borderId="3" xfId="0" applyNumberFormat="1" applyFont="1" applyFill="1" applyBorder="1" applyProtection="1"/>
    <xf numFmtId="3" fontId="9" fillId="2" borderId="80" xfId="0" applyNumberFormat="1" applyFont="1" applyFill="1" applyBorder="1" applyAlignment="1" applyProtection="1">
      <alignment horizontal="right"/>
    </xf>
    <xf numFmtId="3" fontId="9" fillId="2" borderId="24" xfId="0" applyNumberFormat="1" applyFont="1" applyFill="1" applyBorder="1" applyAlignment="1" applyProtection="1">
      <alignment horizontal="right"/>
    </xf>
    <xf numFmtId="3" fontId="9" fillId="2" borderId="15" xfId="0" applyNumberFormat="1" applyFont="1" applyFill="1" applyBorder="1" applyAlignment="1" applyProtection="1">
      <alignment horizontal="right"/>
    </xf>
    <xf numFmtId="3" fontId="9" fillId="2" borderId="18" xfId="0" applyNumberFormat="1" applyFont="1" applyFill="1" applyBorder="1" applyAlignment="1" applyProtection="1">
      <alignment horizontal="right"/>
    </xf>
    <xf numFmtId="49" fontId="9" fillId="2" borderId="36" xfId="0" applyNumberFormat="1" applyFont="1" applyFill="1" applyBorder="1" applyProtection="1"/>
    <xf numFmtId="3" fontId="9" fillId="2" borderId="67" xfId="0" applyNumberFormat="1" applyFont="1" applyFill="1" applyBorder="1" applyAlignment="1" applyProtection="1">
      <alignment horizontal="right"/>
    </xf>
    <xf numFmtId="3" fontId="9" fillId="2" borderId="83" xfId="0" applyNumberFormat="1" applyFont="1" applyFill="1" applyBorder="1" applyAlignment="1" applyProtection="1">
      <alignment horizontal="right"/>
    </xf>
    <xf numFmtId="3" fontId="9" fillId="2" borderId="38" xfId="0" applyNumberFormat="1" applyFont="1" applyFill="1" applyBorder="1" applyAlignment="1" applyProtection="1">
      <alignment horizontal="right"/>
    </xf>
    <xf numFmtId="3" fontId="9" fillId="2" borderId="39" xfId="0" applyNumberFormat="1" applyFont="1" applyFill="1" applyBorder="1" applyAlignment="1" applyProtection="1">
      <alignment horizontal="right"/>
    </xf>
    <xf numFmtId="3" fontId="9" fillId="2" borderId="8" xfId="0" applyNumberFormat="1" applyFont="1" applyFill="1" applyBorder="1" applyAlignment="1" applyProtection="1">
      <alignment horizontal="right"/>
    </xf>
    <xf numFmtId="49" fontId="9" fillId="2" borderId="9" xfId="0" applyNumberFormat="1" applyFont="1" applyFill="1" applyBorder="1" applyProtection="1"/>
    <xf numFmtId="3" fontId="9" fillId="2" borderId="81" xfId="0" applyNumberFormat="1" applyFont="1" applyFill="1" applyBorder="1" applyAlignment="1" applyProtection="1">
      <alignment horizontal="right"/>
    </xf>
    <xf numFmtId="3" fontId="9" fillId="2" borderId="21" xfId="0" applyNumberFormat="1" applyFont="1" applyFill="1" applyBorder="1" applyAlignment="1" applyProtection="1">
      <alignment horizontal="right"/>
    </xf>
    <xf numFmtId="3" fontId="9" fillId="0" borderId="12" xfId="0" applyNumberFormat="1" applyFont="1" applyFill="1" applyBorder="1" applyAlignment="1" applyProtection="1">
      <alignment horizontal="right"/>
    </xf>
    <xf numFmtId="3" fontId="9" fillId="2" borderId="7" xfId="0" applyNumberFormat="1" applyFont="1" applyFill="1" applyBorder="1" applyAlignment="1" applyProtection="1">
      <alignment horizontal="right"/>
    </xf>
    <xf numFmtId="3" fontId="2" fillId="2" borderId="19" xfId="0" applyNumberFormat="1" applyFont="1" applyFill="1" applyBorder="1" applyAlignment="1" applyProtection="1">
      <alignment horizontal="right"/>
    </xf>
    <xf numFmtId="3" fontId="2" fillId="2" borderId="6" xfId="0" applyNumberFormat="1" applyFont="1" applyFill="1" applyBorder="1" applyAlignment="1" applyProtection="1">
      <alignment horizontal="right"/>
    </xf>
    <xf numFmtId="3" fontId="9" fillId="2" borderId="82" xfId="0" applyNumberFormat="1" applyFont="1" applyFill="1" applyBorder="1" applyAlignment="1" applyProtection="1">
      <alignment horizontal="right"/>
    </xf>
    <xf numFmtId="3" fontId="9" fillId="2" borderId="22" xfId="0" applyNumberFormat="1" applyFont="1" applyFill="1" applyBorder="1" applyAlignment="1" applyProtection="1">
      <alignment horizontal="right"/>
    </xf>
    <xf numFmtId="4" fontId="9" fillId="2" borderId="8" xfId="0" applyNumberFormat="1" applyFont="1" applyFill="1" applyBorder="1" applyAlignment="1" applyProtection="1">
      <alignment horizontal="right"/>
    </xf>
    <xf numFmtId="4" fontId="9" fillId="2" borderId="80" xfId="0" applyNumberFormat="1" applyFont="1" applyFill="1" applyBorder="1" applyAlignment="1" applyProtection="1">
      <alignment horizontal="right"/>
    </xf>
    <xf numFmtId="4" fontId="9" fillId="2" borderId="24" xfId="0" applyNumberFormat="1" applyFont="1" applyFill="1" applyBorder="1" applyAlignment="1" applyProtection="1">
      <alignment horizontal="right"/>
    </xf>
    <xf numFmtId="4" fontId="9" fillId="2" borderId="15" xfId="0" applyNumberFormat="1" applyFont="1" applyFill="1" applyBorder="1" applyAlignment="1" applyProtection="1">
      <alignment horizontal="right"/>
    </xf>
    <xf numFmtId="4" fontId="9" fillId="2" borderId="18" xfId="0" applyNumberFormat="1" applyFont="1" applyFill="1" applyBorder="1" applyAlignment="1" applyProtection="1">
      <alignment horizontal="right"/>
    </xf>
    <xf numFmtId="0" fontId="9" fillId="2" borderId="9" xfId="0" applyFont="1" applyFill="1" applyBorder="1" applyProtection="1"/>
    <xf numFmtId="3" fontId="9" fillId="6" borderId="14" xfId="0" applyNumberFormat="1" applyFont="1" applyFill="1" applyBorder="1" applyAlignment="1" applyProtection="1">
      <alignment horizontal="right"/>
    </xf>
    <xf numFmtId="4" fontId="9" fillId="2" borderId="7" xfId="0" applyNumberFormat="1" applyFont="1" applyFill="1" applyBorder="1" applyAlignment="1" applyProtection="1">
      <alignment horizontal="right"/>
    </xf>
    <xf numFmtId="4" fontId="9" fillId="2" borderId="82" xfId="0" applyNumberFormat="1" applyFont="1" applyFill="1" applyBorder="1" applyAlignment="1" applyProtection="1">
      <alignment horizontal="right"/>
    </xf>
    <xf numFmtId="4" fontId="9" fillId="2" borderId="22" xfId="0" applyNumberFormat="1" applyFont="1" applyFill="1" applyBorder="1" applyAlignment="1" applyProtection="1">
      <alignment horizontal="right"/>
    </xf>
    <xf numFmtId="4" fontId="9" fillId="2" borderId="23" xfId="0" applyNumberFormat="1" applyFont="1" applyFill="1" applyBorder="1" applyAlignment="1" applyProtection="1">
      <alignment horizontal="right"/>
    </xf>
    <xf numFmtId="4" fontId="9" fillId="2" borderId="28" xfId="0" applyNumberFormat="1" applyFont="1" applyFill="1" applyBorder="1" applyAlignment="1" applyProtection="1">
      <alignment horizontal="right"/>
    </xf>
    <xf numFmtId="49" fontId="9" fillId="2" borderId="0" xfId="0" applyNumberFormat="1" applyFont="1" applyFill="1" applyBorder="1" applyProtection="1"/>
    <xf numFmtId="49" fontId="9" fillId="2" borderId="5" xfId="0" applyNumberFormat="1" applyFont="1" applyFill="1" applyBorder="1" applyProtection="1"/>
    <xf numFmtId="0" fontId="18" fillId="2" borderId="12" xfId="0" applyFont="1" applyFill="1" applyBorder="1" applyAlignment="1" applyProtection="1">
      <alignment horizontal="right"/>
    </xf>
    <xf numFmtId="9" fontId="9" fillId="2" borderId="13" xfId="3" applyFont="1" applyFill="1" applyBorder="1" applyProtection="1"/>
    <xf numFmtId="9" fontId="9" fillId="2" borderId="10" xfId="3" applyFont="1" applyFill="1" applyBorder="1" applyAlignment="1" applyProtection="1">
      <alignment horizontal="right"/>
    </xf>
    <xf numFmtId="9" fontId="9" fillId="2" borderId="48" xfId="3" applyFont="1" applyFill="1" applyBorder="1" applyAlignment="1" applyProtection="1">
      <alignment horizontal="right"/>
    </xf>
    <xf numFmtId="9" fontId="9" fillId="2" borderId="22" xfId="3" applyFont="1" applyFill="1" applyBorder="1" applyAlignment="1" applyProtection="1">
      <alignment horizontal="right"/>
    </xf>
    <xf numFmtId="9" fontId="9" fillId="2" borderId="23" xfId="3" applyFont="1" applyFill="1" applyBorder="1" applyAlignment="1" applyProtection="1">
      <alignment horizontal="right"/>
    </xf>
    <xf numFmtId="9" fontId="4" fillId="2" borderId="0" xfId="0" applyNumberFormat="1" applyFont="1" applyFill="1" applyBorder="1" applyAlignment="1" applyProtection="1">
      <alignment horizontal="left"/>
    </xf>
    <xf numFmtId="165" fontId="9" fillId="2" borderId="3" xfId="3" applyNumberFormat="1" applyFont="1" applyFill="1" applyBorder="1" applyAlignment="1" applyProtection="1">
      <alignment horizontal="right"/>
    </xf>
    <xf numFmtId="165" fontId="9" fillId="2" borderId="42" xfId="3" applyNumberFormat="1" applyFont="1" applyFill="1" applyBorder="1" applyAlignment="1" applyProtection="1">
      <alignment horizontal="right"/>
    </xf>
    <xf numFmtId="165" fontId="9" fillId="2" borderId="24" xfId="3" applyNumberFormat="1" applyFont="1" applyFill="1" applyBorder="1" applyAlignment="1" applyProtection="1">
      <alignment horizontal="right"/>
    </xf>
    <xf numFmtId="165" fontId="9" fillId="2" borderId="15" xfId="3" applyNumberFormat="1" applyFont="1" applyFill="1" applyBorder="1" applyAlignment="1" applyProtection="1">
      <alignment horizontal="right"/>
    </xf>
    <xf numFmtId="9" fontId="9" fillId="2" borderId="3" xfId="3" applyNumberFormat="1" applyFont="1" applyFill="1" applyBorder="1" applyAlignment="1" applyProtection="1">
      <alignment horizontal="right"/>
    </xf>
    <xf numFmtId="9" fontId="9" fillId="2" borderId="24" xfId="3" applyNumberFormat="1" applyFont="1" applyFill="1" applyBorder="1" applyAlignment="1" applyProtection="1">
      <alignment horizontal="right"/>
    </xf>
    <xf numFmtId="9" fontId="9" fillId="2" borderId="15" xfId="3" applyNumberFormat="1" applyFont="1" applyFill="1" applyBorder="1" applyAlignment="1" applyProtection="1">
      <alignment horizontal="right"/>
    </xf>
    <xf numFmtId="164" fontId="9" fillId="2" borderId="13" xfId="1" applyNumberFormat="1" applyFont="1" applyFill="1" applyBorder="1" applyProtection="1"/>
    <xf numFmtId="3" fontId="9" fillId="2" borderId="3" xfId="3" applyNumberFormat="1" applyFont="1" applyFill="1" applyBorder="1" applyAlignment="1" applyProtection="1">
      <alignment horizontal="right"/>
    </xf>
    <xf numFmtId="3" fontId="9" fillId="2" borderId="42" xfId="3" applyNumberFormat="1" applyFont="1" applyFill="1" applyBorder="1" applyAlignment="1" applyProtection="1">
      <alignment horizontal="right"/>
    </xf>
    <xf numFmtId="3" fontId="9" fillId="2" borderId="24" xfId="3" applyNumberFormat="1" applyFont="1" applyFill="1" applyBorder="1" applyAlignment="1" applyProtection="1">
      <alignment horizontal="right"/>
    </xf>
    <xf numFmtId="3" fontId="9" fillId="2" borderId="15" xfId="3" applyNumberFormat="1" applyFont="1" applyFill="1" applyBorder="1" applyAlignment="1" applyProtection="1">
      <alignment horizontal="right"/>
    </xf>
    <xf numFmtId="0" fontId="9" fillId="2" borderId="5" xfId="0" applyFont="1" applyFill="1" applyBorder="1" applyProtection="1"/>
    <xf numFmtId="9" fontId="9" fillId="2" borderId="14" xfId="3" applyFont="1" applyFill="1" applyBorder="1" applyProtection="1"/>
    <xf numFmtId="165" fontId="2" fillId="2" borderId="14" xfId="3" applyNumberFormat="1" applyFont="1" applyFill="1" applyBorder="1" applyAlignment="1" applyProtection="1">
      <alignment horizontal="right"/>
    </xf>
    <xf numFmtId="165" fontId="2" fillId="2" borderId="19" xfId="3" applyNumberFormat="1" applyFont="1" applyFill="1" applyBorder="1" applyAlignment="1" applyProtection="1">
      <alignment horizontal="right"/>
    </xf>
    <xf numFmtId="165" fontId="2" fillId="2" borderId="43" xfId="3" applyNumberFormat="1" applyFont="1" applyFill="1" applyBorder="1" applyAlignment="1" applyProtection="1">
      <alignment horizontal="right"/>
    </xf>
    <xf numFmtId="0" fontId="23" fillId="2" borderId="0" xfId="0" applyFont="1" applyFill="1" applyProtection="1"/>
    <xf numFmtId="0" fontId="24" fillId="2" borderId="0" xfId="0" applyFont="1" applyFill="1" applyProtection="1"/>
    <xf numFmtId="49" fontId="23" fillId="2" borderId="10" xfId="0" applyNumberFormat="1" applyFont="1" applyFill="1" applyBorder="1" applyAlignment="1" applyProtection="1">
      <alignment horizontal="center"/>
    </xf>
    <xf numFmtId="49" fontId="23" fillId="2" borderId="1" xfId="0" applyNumberFormat="1" applyFont="1" applyFill="1" applyBorder="1" applyAlignment="1" applyProtection="1">
      <alignment horizontal="center"/>
    </xf>
    <xf numFmtId="0" fontId="23" fillId="2" borderId="1" xfId="0" applyFont="1" applyFill="1" applyBorder="1" applyProtection="1"/>
    <xf numFmtId="0" fontId="25" fillId="2" borderId="12" xfId="0" applyFont="1" applyFill="1" applyBorder="1" applyAlignment="1" applyProtection="1">
      <alignment horizontal="center"/>
    </xf>
    <xf numFmtId="0" fontId="25" fillId="2" borderId="44" xfId="0" applyFont="1" applyFill="1" applyBorder="1" applyAlignment="1" applyProtection="1">
      <alignment horizontal="center"/>
    </xf>
    <xf numFmtId="0" fontId="25" fillId="2" borderId="45" xfId="0" applyFont="1" applyFill="1" applyBorder="1" applyAlignment="1" applyProtection="1">
      <alignment horizontal="center"/>
    </xf>
    <xf numFmtId="0" fontId="25" fillId="2" borderId="1" xfId="0" applyFont="1" applyFill="1" applyBorder="1" applyProtection="1"/>
    <xf numFmtId="0" fontId="25" fillId="2" borderId="2" xfId="0" applyFont="1" applyFill="1" applyBorder="1" applyProtection="1"/>
    <xf numFmtId="49" fontId="23" fillId="2" borderId="9" xfId="0" applyNumberFormat="1" applyFont="1" applyFill="1" applyBorder="1" applyProtection="1"/>
    <xf numFmtId="49" fontId="23" fillId="2" borderId="5" xfId="0" applyNumberFormat="1" applyFont="1" applyFill="1" applyBorder="1" applyProtection="1"/>
    <xf numFmtId="0" fontId="25" fillId="2" borderId="5" xfId="0" applyFont="1" applyFill="1" applyBorder="1" applyProtection="1"/>
    <xf numFmtId="0" fontId="23" fillId="2" borderId="5" xfId="0" applyFont="1" applyFill="1" applyBorder="1" applyProtection="1"/>
    <xf numFmtId="0" fontId="23" fillId="2" borderId="44" xfId="0" applyFont="1" applyFill="1" applyBorder="1" applyProtection="1"/>
    <xf numFmtId="0" fontId="23" fillId="2" borderId="46" xfId="0" applyFont="1" applyFill="1" applyBorder="1" applyProtection="1"/>
    <xf numFmtId="0" fontId="23" fillId="2" borderId="35" xfId="0" applyFont="1" applyFill="1" applyBorder="1" applyProtection="1"/>
    <xf numFmtId="0" fontId="23" fillId="2" borderId="10" xfId="0" applyFont="1" applyFill="1" applyBorder="1" applyProtection="1"/>
    <xf numFmtId="49" fontId="23" fillId="2" borderId="1" xfId="0" applyNumberFormat="1" applyFont="1" applyFill="1" applyBorder="1" applyProtection="1"/>
    <xf numFmtId="9" fontId="24" fillId="2" borderId="10" xfId="0" applyNumberFormat="1" applyFont="1" applyFill="1" applyBorder="1" applyProtection="1"/>
    <xf numFmtId="9" fontId="24" fillId="2" borderId="7" xfId="0" applyNumberFormat="1" applyFont="1" applyFill="1" applyBorder="1" applyProtection="1"/>
    <xf numFmtId="9" fontId="24" fillId="2" borderId="28" xfId="0" applyNumberFormat="1" applyFont="1" applyFill="1" applyBorder="1" applyProtection="1"/>
    <xf numFmtId="9" fontId="24" fillId="2" borderId="40" xfId="0" applyNumberFormat="1" applyFont="1" applyFill="1" applyBorder="1" applyProtection="1"/>
    <xf numFmtId="9" fontId="24" fillId="2" borderId="23" xfId="0" applyNumberFormat="1" applyFont="1" applyFill="1" applyBorder="1" applyProtection="1"/>
    <xf numFmtId="0" fontId="23" fillId="2" borderId="3" xfId="0" applyFont="1" applyFill="1" applyBorder="1" applyProtection="1"/>
    <xf numFmtId="49" fontId="23" fillId="2" borderId="0" xfId="0" applyNumberFormat="1" applyFont="1" applyFill="1" applyBorder="1" applyProtection="1"/>
    <xf numFmtId="0" fontId="23" fillId="2" borderId="0" xfId="0" applyFont="1" applyFill="1" applyBorder="1" applyProtection="1"/>
    <xf numFmtId="9" fontId="24" fillId="2" borderId="3" xfId="0" applyNumberFormat="1" applyFont="1" applyFill="1" applyBorder="1" applyProtection="1"/>
    <xf numFmtId="9" fontId="24" fillId="2" borderId="8" xfId="0" applyNumberFormat="1" applyFont="1" applyFill="1" applyBorder="1" applyProtection="1"/>
    <xf numFmtId="9" fontId="24" fillId="2" borderId="18" xfId="0" applyNumberFormat="1" applyFont="1" applyFill="1" applyBorder="1" applyProtection="1"/>
    <xf numFmtId="9" fontId="24" fillId="2" borderId="20" xfId="0" applyNumberFormat="1" applyFont="1" applyFill="1" applyBorder="1" applyProtection="1"/>
    <xf numFmtId="9" fontId="24" fillId="2" borderId="15" xfId="0" applyNumberFormat="1" applyFont="1" applyFill="1" applyBorder="1" applyProtection="1"/>
    <xf numFmtId="0" fontId="23" fillId="2" borderId="9" xfId="0" applyFont="1" applyFill="1" applyBorder="1" applyProtection="1"/>
    <xf numFmtId="9" fontId="24" fillId="2" borderId="0" xfId="0" applyNumberFormat="1" applyFont="1" applyFill="1" applyProtection="1"/>
    <xf numFmtId="3" fontId="9" fillId="6" borderId="8" xfId="0" applyNumberFormat="1" applyFont="1" applyFill="1" applyBorder="1" applyAlignment="1" applyProtection="1">
      <alignment horizontal="right"/>
    </xf>
    <xf numFmtId="0" fontId="38" fillId="8" borderId="0" xfId="0" applyFont="1" applyFill="1"/>
    <xf numFmtId="0" fontId="0" fillId="8" borderId="0" xfId="0" applyFill="1"/>
    <xf numFmtId="0" fontId="9" fillId="2" borderId="0" xfId="0" applyFont="1" applyFill="1" applyBorder="1" applyAlignment="1" applyProtection="1"/>
    <xf numFmtId="3" fontId="40" fillId="6" borderId="3" xfId="1" applyNumberFormat="1" applyFont="1" applyFill="1" applyBorder="1" applyProtection="1"/>
    <xf numFmtId="3" fontId="40" fillId="6" borderId="0" xfId="1" applyNumberFormat="1" applyFont="1" applyFill="1" applyBorder="1" applyProtection="1"/>
    <xf numFmtId="3" fontId="40" fillId="6" borderId="13" xfId="1" applyNumberFormat="1" applyFont="1" applyFill="1" applyBorder="1" applyProtection="1"/>
    <xf numFmtId="3" fontId="5" fillId="0" borderId="0" xfId="1" applyNumberFormat="1" applyFont="1" applyFill="1" applyBorder="1" applyProtection="1"/>
    <xf numFmtId="3" fontId="5" fillId="0" borderId="3" xfId="1" applyNumberFormat="1" applyFont="1" applyFill="1" applyBorder="1" applyProtection="1"/>
    <xf numFmtId="3" fontId="5" fillId="0" borderId="13" xfId="1" applyNumberFormat="1" applyFont="1" applyFill="1" applyBorder="1" applyProtection="1"/>
    <xf numFmtId="3" fontId="43" fillId="6" borderId="13" xfId="1" applyNumberFormat="1" applyFont="1" applyFill="1" applyBorder="1" applyProtection="1"/>
    <xf numFmtId="0" fontId="5" fillId="2" borderId="0" xfId="0" applyFont="1" applyFill="1" applyBorder="1" applyAlignment="1" applyProtection="1"/>
    <xf numFmtId="0" fontId="5" fillId="2" borderId="4" xfId="0" applyFont="1" applyFill="1" applyBorder="1" applyAlignment="1" applyProtection="1"/>
    <xf numFmtId="0" fontId="11" fillId="2" borderId="0" xfId="0" applyFont="1" applyFill="1" applyAlignment="1" applyProtection="1"/>
    <xf numFmtId="0" fontId="5" fillId="2" borderId="5" xfId="0" applyFont="1" applyFill="1" applyBorder="1" applyAlignment="1" applyProtection="1"/>
    <xf numFmtId="0" fontId="9" fillId="2" borderId="0" xfId="0" applyFont="1" applyFill="1" applyBorder="1" applyAlignment="1" applyProtection="1"/>
    <xf numFmtId="0" fontId="2" fillId="2" borderId="0" xfId="0" applyFont="1" applyFill="1" applyBorder="1" applyAlignment="1" applyProtection="1"/>
    <xf numFmtId="3" fontId="32" fillId="7" borderId="0" xfId="0" applyNumberFormat="1" applyFont="1" applyFill="1" applyAlignment="1" applyProtection="1"/>
    <xf numFmtId="0" fontId="43" fillId="2" borderId="0" xfId="0" applyFont="1" applyFill="1" applyBorder="1" applyAlignment="1">
      <alignment horizontal="left"/>
    </xf>
    <xf numFmtId="0" fontId="43" fillId="2" borderId="0" xfId="0" applyFont="1" applyFill="1" applyBorder="1" applyAlignment="1"/>
    <xf numFmtId="0" fontId="43" fillId="2" borderId="4" xfId="0" applyFont="1" applyFill="1" applyBorder="1" applyAlignment="1"/>
    <xf numFmtId="0" fontId="44" fillId="2" borderId="0" xfId="0" applyFont="1" applyFill="1"/>
    <xf numFmtId="0" fontId="45" fillId="2" borderId="3" xfId="0" applyFont="1" applyFill="1" applyBorder="1" applyAlignment="1">
      <alignment horizontal="left"/>
    </xf>
    <xf numFmtId="0" fontId="43" fillId="2" borderId="0" xfId="0" applyFont="1" applyFill="1" applyBorder="1"/>
    <xf numFmtId="0" fontId="44" fillId="2" borderId="3" xfId="0" applyFont="1" applyFill="1" applyBorder="1"/>
    <xf numFmtId="0" fontId="43" fillId="2" borderId="0" xfId="0" applyFont="1" applyFill="1" applyBorder="1" applyAlignment="1">
      <alignment horizontal="right"/>
    </xf>
    <xf numFmtId="164" fontId="9" fillId="0" borderId="13" xfId="1" applyNumberFormat="1" applyFont="1" applyFill="1" applyBorder="1" applyAlignment="1" applyProtection="1"/>
    <xf numFmtId="0" fontId="45" fillId="2" borderId="9" xfId="0" applyFont="1" applyFill="1" applyBorder="1" applyAlignment="1">
      <alignment horizontal="left"/>
    </xf>
    <xf numFmtId="0" fontId="43" fillId="2" borderId="5" xfId="0" applyFont="1" applyFill="1" applyBorder="1" applyAlignment="1">
      <alignment horizontal="left"/>
    </xf>
    <xf numFmtId="0" fontId="43" fillId="2" borderId="5" xfId="0" applyFont="1" applyFill="1" applyBorder="1"/>
    <xf numFmtId="0" fontId="44" fillId="2" borderId="3" xfId="0" applyFont="1" applyFill="1" applyBorder="1" applyAlignment="1">
      <alignment horizontal="left"/>
    </xf>
    <xf numFmtId="3" fontId="14" fillId="0" borderId="62" xfId="0" applyNumberFormat="1" applyFont="1" applyFill="1" applyBorder="1" applyAlignment="1" applyProtection="1">
      <alignment wrapText="1"/>
    </xf>
    <xf numFmtId="0" fontId="13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/>
    </xf>
    <xf numFmtId="0" fontId="11" fillId="2" borderId="0" xfId="0" applyFont="1" applyFill="1" applyAlignment="1" applyProtection="1">
      <alignment horizontal="center"/>
    </xf>
    <xf numFmtId="0" fontId="9" fillId="2" borderId="0" xfId="0" applyFont="1" applyFill="1" applyBorder="1" applyAlignment="1" applyProtection="1">
      <alignment horizontal="center"/>
    </xf>
    <xf numFmtId="0" fontId="14" fillId="2" borderId="23" xfId="0" applyFont="1" applyFill="1" applyBorder="1" applyAlignment="1" applyProtection="1">
      <alignment horizontal="center" wrapText="1"/>
    </xf>
    <xf numFmtId="0" fontId="14" fillId="2" borderId="15" xfId="0" applyFont="1" applyFill="1" applyBorder="1" applyAlignment="1" applyProtection="1">
      <alignment horizontal="center" wrapText="1"/>
    </xf>
    <xf numFmtId="0" fontId="7" fillId="2" borderId="15" xfId="0" applyFont="1" applyFill="1" applyBorder="1" applyAlignment="1" applyProtection="1">
      <alignment horizontal="center" wrapText="1"/>
    </xf>
    <xf numFmtId="0" fontId="9" fillId="2" borderId="0" xfId="0" applyFont="1" applyFill="1" applyAlignment="1" applyProtection="1">
      <alignment horizontal="center"/>
    </xf>
    <xf numFmtId="0" fontId="42" fillId="2" borderId="11" xfId="0" applyFont="1" applyFill="1" applyBorder="1" applyAlignment="1" applyProtection="1">
      <alignment wrapText="1"/>
    </xf>
    <xf numFmtId="0" fontId="42" fillId="2" borderId="13" xfId="0" applyFont="1" applyFill="1" applyBorder="1" applyAlignment="1" applyProtection="1">
      <alignment wrapText="1"/>
    </xf>
    <xf numFmtId="0" fontId="42" fillId="2" borderId="14" xfId="0" applyFont="1" applyFill="1" applyBorder="1" applyAlignment="1" applyProtection="1">
      <alignment wrapText="1"/>
    </xf>
    <xf numFmtId="0" fontId="42" fillId="2" borderId="11" xfId="0" applyFont="1" applyFill="1" applyBorder="1" applyAlignment="1" applyProtection="1">
      <alignment horizontal="left" wrapText="1"/>
    </xf>
    <xf numFmtId="0" fontId="42" fillId="2" borderId="13" xfId="0" applyFont="1" applyFill="1" applyBorder="1" applyAlignment="1" applyProtection="1">
      <alignment horizontal="left" wrapText="1"/>
    </xf>
    <xf numFmtId="0" fontId="2" fillId="2" borderId="0" xfId="1" applyNumberFormat="1" applyFont="1" applyFill="1" applyBorder="1" applyAlignment="1"/>
    <xf numFmtId="0" fontId="5" fillId="2" borderId="11" xfId="0" applyFont="1" applyFill="1" applyBorder="1" applyAlignment="1" applyProtection="1">
      <alignment horizontal="left"/>
    </xf>
    <xf numFmtId="0" fontId="5" fillId="2" borderId="11" xfId="0" applyFont="1" applyFill="1" applyBorder="1" applyProtection="1"/>
    <xf numFmtId="0" fontId="5" fillId="2" borderId="4" xfId="0" applyFont="1" applyFill="1" applyBorder="1" applyProtection="1"/>
    <xf numFmtId="0" fontId="5" fillId="2" borderId="10" xfId="0" applyFont="1" applyFill="1" applyBorder="1" applyAlignment="1" applyProtection="1"/>
    <xf numFmtId="0" fontId="43" fillId="2" borderId="0" xfId="0" applyFont="1" applyFill="1" applyBorder="1" applyAlignment="1"/>
    <xf numFmtId="0" fontId="5" fillId="2" borderId="4" xfId="0" applyFont="1" applyFill="1" applyBorder="1" applyAlignment="1"/>
    <xf numFmtId="0" fontId="5" fillId="2" borderId="0" xfId="0" applyFont="1" applyFill="1" applyBorder="1" applyAlignment="1" applyProtection="1"/>
    <xf numFmtId="0" fontId="5" fillId="2" borderId="4" xfId="0" applyFont="1" applyFill="1" applyBorder="1" applyAlignment="1" applyProtection="1"/>
    <xf numFmtId="0" fontId="5" fillId="2" borderId="5" xfId="0" applyFont="1" applyFill="1" applyBorder="1" applyAlignment="1" applyProtection="1"/>
    <xf numFmtId="0" fontId="6" fillId="0" borderId="0" xfId="0" applyFont="1" applyFill="1" applyBorder="1" applyAlignment="1"/>
    <xf numFmtId="0" fontId="5" fillId="0" borderId="0" xfId="0" applyFont="1" applyFill="1" applyBorder="1" applyAlignment="1"/>
    <xf numFmtId="0" fontId="43" fillId="2" borderId="0" xfId="0" applyFont="1" applyFill="1" applyBorder="1" applyAlignment="1" applyProtection="1">
      <alignment horizontal="right"/>
    </xf>
    <xf numFmtId="0" fontId="43" fillId="2" borderId="0" xfId="0" applyFont="1" applyFill="1" applyBorder="1" applyProtection="1"/>
    <xf numFmtId="0" fontId="44" fillId="2" borderId="0" xfId="0" applyFont="1" applyFill="1" applyProtection="1"/>
    <xf numFmtId="0" fontId="44" fillId="2" borderId="3" xfId="0" applyFont="1" applyFill="1" applyBorder="1" applyProtection="1"/>
    <xf numFmtId="3" fontId="43" fillId="6" borderId="3" xfId="1" applyNumberFormat="1" applyFont="1" applyFill="1" applyBorder="1" applyAlignment="1" applyProtection="1"/>
    <xf numFmtId="3" fontId="43" fillId="6" borderId="66" xfId="1" applyNumberFormat="1" applyFont="1" applyFill="1" applyBorder="1" applyAlignment="1" applyProtection="1"/>
    <xf numFmtId="3" fontId="43" fillId="6" borderId="0" xfId="1" applyNumberFormat="1" applyFont="1" applyFill="1" applyBorder="1" applyProtection="1"/>
    <xf numFmtId="3" fontId="43" fillId="6" borderId="3" xfId="1" applyNumberFormat="1" applyFont="1" applyFill="1" applyBorder="1" applyProtection="1"/>
    <xf numFmtId="0" fontId="45" fillId="2" borderId="3" xfId="0" applyFont="1" applyFill="1" applyBorder="1" applyAlignment="1" applyProtection="1">
      <alignment horizontal="left"/>
    </xf>
    <xf numFmtId="0" fontId="43" fillId="2" borderId="0" xfId="0" applyFont="1" applyFill="1" applyBorder="1" applyAlignment="1" applyProtection="1">
      <alignment horizontal="left"/>
    </xf>
    <xf numFmtId="3" fontId="43" fillId="6" borderId="9" xfId="1" applyNumberFormat="1" applyFont="1" applyFill="1" applyBorder="1" applyAlignment="1" applyProtection="1"/>
    <xf numFmtId="3" fontId="43" fillId="6" borderId="65" xfId="1" applyNumberFormat="1" applyFont="1" applyFill="1" applyBorder="1" applyAlignment="1" applyProtection="1"/>
    <xf numFmtId="3" fontId="43" fillId="6" borderId="14" xfId="1" applyNumberFormat="1" applyFont="1" applyFill="1" applyBorder="1" applyProtection="1"/>
    <xf numFmtId="0" fontId="45" fillId="2" borderId="9" xfId="0" applyFont="1" applyFill="1" applyBorder="1" applyAlignment="1" applyProtection="1">
      <alignment horizontal="left"/>
    </xf>
    <xf numFmtId="0" fontId="43" fillId="2" borderId="5" xfId="0" applyFont="1" applyFill="1" applyBorder="1" applyAlignment="1" applyProtection="1">
      <alignment horizontal="left"/>
    </xf>
    <xf numFmtId="0" fontId="43" fillId="2" borderId="5" xfId="0" applyFont="1" applyFill="1" applyBorder="1" applyProtection="1"/>
    <xf numFmtId="0" fontId="44" fillId="2" borderId="4" xfId="0" applyFont="1" applyFill="1" applyBorder="1" applyAlignment="1" applyProtection="1"/>
    <xf numFmtId="3" fontId="45" fillId="0" borderId="0" xfId="1" applyNumberFormat="1" applyFont="1" applyFill="1" applyBorder="1" applyProtection="1"/>
    <xf numFmtId="0" fontId="2" fillId="6" borderId="0" xfId="0" applyFont="1" applyFill="1" applyProtection="1"/>
    <xf numFmtId="0" fontId="5" fillId="6" borderId="3" xfId="0" applyFont="1" applyFill="1" applyBorder="1" applyAlignment="1" applyProtection="1">
      <alignment horizontal="left"/>
    </xf>
    <xf numFmtId="0" fontId="43" fillId="6" borderId="0" xfId="0" applyFont="1" applyFill="1" applyBorder="1" applyAlignment="1">
      <alignment horizontal="left"/>
    </xf>
    <xf numFmtId="0" fontId="43" fillId="6" borderId="0" xfId="0" applyFont="1" applyFill="1" applyBorder="1" applyAlignment="1"/>
    <xf numFmtId="0" fontId="5" fillId="6" borderId="4" xfId="0" applyFont="1" applyFill="1" applyBorder="1" applyAlignment="1"/>
    <xf numFmtId="0" fontId="44" fillId="6" borderId="0" xfId="0" applyFont="1" applyFill="1" applyProtection="1"/>
    <xf numFmtId="0" fontId="44" fillId="2" borderId="3" xfId="0" applyFont="1" applyFill="1" applyBorder="1" applyAlignment="1" applyProtection="1">
      <alignment horizontal="left"/>
    </xf>
    <xf numFmtId="0" fontId="5" fillId="6" borderId="0" xfId="0" applyFont="1" applyFill="1" applyBorder="1" applyAlignment="1" applyProtection="1">
      <alignment horizontal="left"/>
    </xf>
    <xf numFmtId="3" fontId="41" fillId="6" borderId="3" xfId="1" applyNumberFormat="1" applyFont="1" applyFill="1" applyBorder="1" applyProtection="1"/>
    <xf numFmtId="3" fontId="41" fillId="6" borderId="13" xfId="1" applyNumberFormat="1" applyFont="1" applyFill="1" applyBorder="1" applyProtection="1"/>
    <xf numFmtId="3" fontId="42" fillId="6" borderId="0" xfId="1" applyNumberFormat="1" applyFont="1" applyFill="1" applyBorder="1" applyProtection="1"/>
    <xf numFmtId="3" fontId="42" fillId="6" borderId="13" xfId="1" applyNumberFormat="1" applyFont="1" applyFill="1" applyBorder="1" applyProtection="1"/>
    <xf numFmtId="0" fontId="44" fillId="6" borderId="0" xfId="0" applyFont="1" applyFill="1" applyBorder="1" applyAlignment="1" applyProtection="1">
      <alignment horizontal="right"/>
    </xf>
    <xf numFmtId="0" fontId="44" fillId="6" borderId="0" xfId="0" applyFont="1" applyFill="1" applyBorder="1" applyProtection="1"/>
    <xf numFmtId="3" fontId="2" fillId="2" borderId="0" xfId="0" applyNumberFormat="1" applyFont="1" applyFill="1" applyBorder="1" applyProtection="1"/>
    <xf numFmtId="3" fontId="47" fillId="0" borderId="0" xfId="1" applyNumberFormat="1" applyFont="1" applyFill="1" applyBorder="1" applyProtection="1"/>
    <xf numFmtId="0" fontId="44" fillId="6" borderId="3" xfId="0" applyFont="1" applyFill="1" applyBorder="1" applyProtection="1"/>
    <xf numFmtId="0" fontId="47" fillId="6" borderId="3" xfId="0" applyFont="1" applyFill="1" applyBorder="1" applyAlignment="1" applyProtection="1">
      <alignment horizontal="left"/>
    </xf>
    <xf numFmtId="0" fontId="47" fillId="6" borderId="0" xfId="0" applyFont="1" applyFill="1" applyBorder="1" applyAlignment="1" applyProtection="1">
      <alignment horizontal="left"/>
    </xf>
    <xf numFmtId="3" fontId="47" fillId="6" borderId="3" xfId="1" applyNumberFormat="1" applyFont="1" applyFill="1" applyBorder="1" applyProtection="1"/>
    <xf numFmtId="3" fontId="47" fillId="6" borderId="66" xfId="1" applyNumberFormat="1" applyFont="1" applyFill="1" applyBorder="1" applyProtection="1"/>
    <xf numFmtId="3" fontId="42" fillId="6" borderId="3" xfId="1" applyNumberFormat="1" applyFont="1" applyFill="1" applyBorder="1" applyProtection="1"/>
    <xf numFmtId="0" fontId="47" fillId="6" borderId="0" xfId="0" applyFont="1" applyFill="1" applyProtection="1"/>
    <xf numFmtId="3" fontId="2" fillId="2" borderId="4" xfId="0" applyNumberFormat="1" applyFont="1" applyFill="1" applyBorder="1" applyProtection="1"/>
    <xf numFmtId="164" fontId="2" fillId="2" borderId="0" xfId="0" applyNumberFormat="1" applyFont="1" applyFill="1" applyProtection="1"/>
    <xf numFmtId="0" fontId="0" fillId="0" borderId="0" xfId="0" applyAlignment="1">
      <alignment horizontal="right"/>
    </xf>
    <xf numFmtId="0" fontId="0" fillId="0" borderId="0" xfId="0" applyFont="1"/>
    <xf numFmtId="0" fontId="2" fillId="0" borderId="0" xfId="0" applyFont="1" applyFill="1" applyBorder="1" applyAlignment="1"/>
    <xf numFmtId="0" fontId="5" fillId="2" borderId="0" xfId="0" applyFont="1" applyFill="1" applyBorder="1" applyAlignment="1" applyProtection="1"/>
    <xf numFmtId="0" fontId="5" fillId="2" borderId="4" xfId="0" applyFont="1" applyFill="1" applyBorder="1" applyAlignment="1" applyProtection="1"/>
    <xf numFmtId="0" fontId="5" fillId="2" borderId="5" xfId="0" applyFont="1" applyFill="1" applyBorder="1" applyAlignment="1" applyProtection="1"/>
    <xf numFmtId="0" fontId="43" fillId="2" borderId="0" xfId="0" applyFont="1" applyFill="1" applyBorder="1" applyAlignment="1" applyProtection="1"/>
    <xf numFmtId="0" fontId="5" fillId="6" borderId="4" xfId="0" applyFont="1" applyFill="1" applyBorder="1" applyAlignment="1" applyProtection="1"/>
    <xf numFmtId="0" fontId="2" fillId="2" borderId="0" xfId="0" applyFont="1" applyFill="1" applyBorder="1" applyAlignment="1" applyProtection="1"/>
    <xf numFmtId="0" fontId="13" fillId="2" borderId="0" xfId="0" applyFont="1" applyFill="1" applyAlignment="1" applyProtection="1"/>
    <xf numFmtId="0" fontId="6" fillId="2" borderId="0" xfId="0" applyFont="1" applyFill="1" applyBorder="1" applyAlignment="1" applyProtection="1"/>
    <xf numFmtId="3" fontId="43" fillId="0" borderId="74" xfId="1" applyNumberFormat="1" applyFont="1" applyFill="1" applyBorder="1" applyProtection="1"/>
    <xf numFmtId="3" fontId="43" fillId="0" borderId="9" xfId="1" applyNumberFormat="1" applyFont="1" applyFill="1" applyBorder="1" applyProtection="1"/>
    <xf numFmtId="3" fontId="43" fillId="0" borderId="14" xfId="1" applyNumberFormat="1" applyFont="1" applyFill="1" applyBorder="1" applyProtection="1"/>
    <xf numFmtId="0" fontId="43" fillId="6" borderId="0" xfId="0" applyFont="1" applyFill="1" applyBorder="1" applyAlignment="1" applyProtection="1">
      <alignment horizontal="left"/>
    </xf>
    <xf numFmtId="0" fontId="43" fillId="6" borderId="0" xfId="0" applyFont="1" applyFill="1" applyBorder="1" applyAlignment="1" applyProtection="1"/>
    <xf numFmtId="3" fontId="7" fillId="2" borderId="52" xfId="0" applyNumberFormat="1" applyFont="1" applyFill="1" applyBorder="1" applyProtection="1"/>
    <xf numFmtId="3" fontId="32" fillId="7" borderId="0" xfId="0" applyNumberFormat="1" applyFont="1" applyFill="1" applyAlignment="1" applyProtection="1">
      <alignment horizontal="right"/>
    </xf>
    <xf numFmtId="1" fontId="2" fillId="2" borderId="0" xfId="0" applyNumberFormat="1" applyFont="1" applyFill="1" applyBorder="1" applyAlignment="1" applyProtection="1"/>
    <xf numFmtId="0" fontId="44" fillId="2" borderId="0" xfId="0" applyFont="1" applyFill="1" applyBorder="1" applyProtection="1"/>
    <xf numFmtId="3" fontId="45" fillId="6" borderId="12" xfId="1" applyNumberFormat="1" applyFont="1" applyFill="1" applyBorder="1" applyProtection="1"/>
    <xf numFmtId="0" fontId="5" fillId="2" borderId="10" xfId="0" applyFont="1" applyFill="1" applyBorder="1" applyAlignment="1" applyProtection="1">
      <alignment horizontal="left"/>
    </xf>
    <xf numFmtId="3" fontId="6" fillId="0" borderId="12" xfId="1" applyNumberFormat="1" applyFont="1" applyFill="1" applyBorder="1" applyProtection="1"/>
    <xf numFmtId="3" fontId="2" fillId="2" borderId="52" xfId="0" applyNumberFormat="1" applyFont="1" applyFill="1" applyBorder="1" applyProtection="1"/>
    <xf numFmtId="3" fontId="6" fillId="0" borderId="46" xfId="1" applyNumberFormat="1" applyFont="1" applyFill="1" applyBorder="1" applyProtection="1"/>
    <xf numFmtId="3" fontId="6" fillId="0" borderId="33" xfId="1" applyNumberFormat="1" applyFont="1" applyFill="1" applyBorder="1" applyProtection="1"/>
    <xf numFmtId="0" fontId="2" fillId="6" borderId="4" xfId="0" applyFont="1" applyFill="1" applyBorder="1" applyProtection="1"/>
    <xf numFmtId="0" fontId="39" fillId="2" borderId="0" xfId="0" applyFont="1" applyFill="1" applyAlignment="1"/>
    <xf numFmtId="0" fontId="49" fillId="2" borderId="0" xfId="0" applyFont="1" applyFill="1" applyBorder="1" applyAlignment="1" applyProtection="1">
      <alignment wrapText="1"/>
    </xf>
    <xf numFmtId="0" fontId="49" fillId="2" borderId="8" xfId="0" applyFont="1" applyFill="1" applyBorder="1" applyAlignment="1" applyProtection="1">
      <alignment wrapText="1"/>
    </xf>
    <xf numFmtId="0" fontId="49" fillId="2" borderId="15" xfId="0" applyFont="1" applyFill="1" applyBorder="1" applyAlignment="1" applyProtection="1">
      <alignment horizontal="center" wrapText="1"/>
    </xf>
    <xf numFmtId="3" fontId="49" fillId="2" borderId="8" xfId="0" applyNumberFormat="1" applyFont="1" applyFill="1" applyBorder="1" applyAlignment="1" applyProtection="1">
      <alignment horizontal="right" wrapText="1"/>
    </xf>
    <xf numFmtId="0" fontId="49" fillId="2" borderId="13" xfId="0" applyNumberFormat="1" applyFont="1" applyFill="1" applyBorder="1" applyAlignment="1" applyProtection="1">
      <alignment horizontal="center" wrapText="1"/>
    </xf>
    <xf numFmtId="3" fontId="49" fillId="2" borderId="20" xfId="0" applyNumberFormat="1" applyFont="1" applyFill="1" applyBorder="1" applyAlignment="1" applyProtection="1">
      <alignment wrapText="1"/>
    </xf>
    <xf numFmtId="3" fontId="49" fillId="2" borderId="20" xfId="0" applyNumberFormat="1" applyFont="1" applyFill="1" applyBorder="1" applyAlignment="1" applyProtection="1">
      <alignment horizontal="right" wrapText="1"/>
    </xf>
    <xf numFmtId="3" fontId="11" fillId="2" borderId="20" xfId="0" applyNumberFormat="1" applyFont="1" applyFill="1" applyBorder="1" applyAlignment="1" applyProtection="1">
      <alignment horizontal="right" wrapText="1"/>
    </xf>
    <xf numFmtId="3" fontId="49" fillId="6" borderId="13" xfId="0" applyNumberFormat="1" applyFont="1" applyFill="1" applyBorder="1" applyAlignment="1" applyProtection="1">
      <alignment horizontal="center" wrapText="1"/>
    </xf>
    <xf numFmtId="3" fontId="49" fillId="6" borderId="20" xfId="0" applyNumberFormat="1" applyFont="1" applyFill="1" applyBorder="1" applyAlignment="1" applyProtection="1">
      <alignment wrapText="1"/>
    </xf>
    <xf numFmtId="3" fontId="11" fillId="2" borderId="8" xfId="0" applyNumberFormat="1" applyFont="1" applyFill="1" applyBorder="1" applyAlignment="1" applyProtection="1">
      <alignment horizontal="right" wrapText="1"/>
    </xf>
    <xf numFmtId="0" fontId="11" fillId="2" borderId="13" xfId="0" applyNumberFormat="1" applyFont="1" applyFill="1" applyBorder="1" applyAlignment="1" applyProtection="1">
      <alignment horizontal="center" wrapText="1"/>
    </xf>
    <xf numFmtId="3" fontId="11" fillId="2" borderId="20" xfId="0" applyNumberFormat="1" applyFont="1" applyFill="1" applyBorder="1" applyAlignment="1" applyProtection="1">
      <alignment wrapText="1"/>
    </xf>
    <xf numFmtId="0" fontId="5" fillId="2" borderId="15" xfId="0" applyFont="1" applyFill="1" applyBorder="1" applyAlignment="1" applyProtection="1">
      <alignment horizontal="center" wrapText="1"/>
    </xf>
    <xf numFmtId="0" fontId="11" fillId="2" borderId="0" xfId="0" applyFont="1" applyFill="1" applyBorder="1" applyAlignment="1" applyProtection="1">
      <alignment wrapText="1"/>
    </xf>
    <xf numFmtId="3" fontId="11" fillId="0" borderId="75" xfId="0" applyNumberFormat="1" applyFont="1" applyFill="1" applyBorder="1" applyAlignment="1" applyProtection="1">
      <alignment horizontal="center" wrapText="1"/>
    </xf>
    <xf numFmtId="3" fontId="11" fillId="6" borderId="62" xfId="0" applyNumberFormat="1" applyFont="1" applyFill="1" applyBorder="1" applyAlignment="1" applyProtection="1">
      <alignment wrapText="1"/>
    </xf>
    <xf numFmtId="9" fontId="9" fillId="2" borderId="66" xfId="3" applyNumberFormat="1" applyFont="1" applyFill="1" applyBorder="1" applyAlignment="1" applyProtection="1">
      <alignment horizontal="right"/>
    </xf>
    <xf numFmtId="9" fontId="9" fillId="2" borderId="13" xfId="3" applyNumberFormat="1" applyFont="1" applyFill="1" applyBorder="1" applyAlignment="1" applyProtection="1">
      <alignment horizontal="right"/>
    </xf>
    <xf numFmtId="9" fontId="9" fillId="2" borderId="80" xfId="3" applyNumberFormat="1" applyFont="1" applyFill="1" applyBorder="1" applyAlignment="1" applyProtection="1">
      <alignment horizontal="right"/>
    </xf>
    <xf numFmtId="49" fontId="2" fillId="2" borderId="0" xfId="0" applyNumberFormat="1" applyFont="1" applyFill="1" applyBorder="1" applyProtection="1"/>
    <xf numFmtId="49" fontId="2" fillId="0" borderId="0" xfId="0" applyNumberFormat="1" applyFont="1" applyFill="1" applyBorder="1" applyProtection="1"/>
    <xf numFmtId="0" fontId="7" fillId="2" borderId="87" xfId="0" applyFont="1" applyFill="1" applyBorder="1" applyProtection="1"/>
    <xf numFmtId="9" fontId="9" fillId="2" borderId="82" xfId="3" applyFont="1" applyFill="1" applyBorder="1" applyAlignment="1" applyProtection="1">
      <alignment horizontal="right"/>
    </xf>
    <xf numFmtId="165" fontId="9" fillId="2" borderId="80" xfId="3" applyNumberFormat="1" applyFont="1" applyFill="1" applyBorder="1" applyAlignment="1" applyProtection="1">
      <alignment horizontal="right"/>
    </xf>
    <xf numFmtId="3" fontId="9" fillId="2" borderId="80" xfId="3" applyNumberFormat="1" applyFont="1" applyFill="1" applyBorder="1" applyAlignment="1" applyProtection="1">
      <alignment horizontal="right"/>
    </xf>
    <xf numFmtId="165" fontId="2" fillId="2" borderId="5" xfId="3" applyNumberFormat="1" applyFont="1" applyFill="1" applyBorder="1" applyAlignment="1" applyProtection="1">
      <alignment horizontal="right"/>
    </xf>
    <xf numFmtId="0" fontId="7" fillId="2" borderId="12" xfId="0" applyFont="1" applyFill="1" applyBorder="1" applyAlignment="1" applyProtection="1">
      <alignment horizontal="right"/>
    </xf>
    <xf numFmtId="9" fontId="9" fillId="2" borderId="11" xfId="3" applyFont="1" applyFill="1" applyBorder="1" applyAlignment="1" applyProtection="1">
      <alignment horizontal="right"/>
    </xf>
    <xf numFmtId="165" fontId="9" fillId="2" borderId="13" xfId="3" applyNumberFormat="1" applyFont="1" applyFill="1" applyBorder="1" applyAlignment="1" applyProtection="1">
      <alignment horizontal="right"/>
    </xf>
    <xf numFmtId="3" fontId="9" fillId="2" borderId="13" xfId="3" applyNumberFormat="1" applyFont="1" applyFill="1" applyBorder="1" applyAlignment="1" applyProtection="1">
      <alignment horizontal="right"/>
    </xf>
    <xf numFmtId="0" fontId="23" fillId="2" borderId="2" xfId="0" applyFont="1" applyFill="1" applyBorder="1" applyProtection="1"/>
    <xf numFmtId="0" fontId="23" fillId="2" borderId="4" xfId="0" applyFont="1" applyFill="1" applyBorder="1" applyProtection="1"/>
    <xf numFmtId="0" fontId="23" fillId="2" borderId="6" xfId="0" applyFont="1" applyFill="1" applyBorder="1" applyProtection="1"/>
    <xf numFmtId="3" fontId="24" fillId="2" borderId="3" xfId="0" applyNumberFormat="1" applyFont="1" applyFill="1" applyBorder="1" applyProtection="1"/>
    <xf numFmtId="3" fontId="24" fillId="2" borderId="8" xfId="0" applyNumberFormat="1" applyFont="1" applyFill="1" applyBorder="1" applyProtection="1"/>
    <xf numFmtId="3" fontId="24" fillId="2" borderId="18" xfId="0" applyNumberFormat="1" applyFont="1" applyFill="1" applyBorder="1" applyProtection="1"/>
    <xf numFmtId="3" fontId="24" fillId="2" borderId="20" xfId="0" applyNumberFormat="1" applyFont="1" applyFill="1" applyBorder="1" applyProtection="1"/>
    <xf numFmtId="3" fontId="24" fillId="2" borderId="15" xfId="0" applyNumberFormat="1" applyFont="1" applyFill="1" applyBorder="1" applyProtection="1"/>
    <xf numFmtId="9" fontId="24" fillId="2" borderId="9" xfId="0" applyNumberFormat="1" applyFont="1" applyFill="1" applyBorder="1" applyProtection="1"/>
    <xf numFmtId="9" fontId="24" fillId="2" borderId="16" xfId="0" applyNumberFormat="1" applyFont="1" applyFill="1" applyBorder="1" applyProtection="1"/>
    <xf numFmtId="9" fontId="24" fillId="2" borderId="21" xfId="0" applyNumberFormat="1" applyFont="1" applyFill="1" applyBorder="1" applyProtection="1"/>
    <xf numFmtId="9" fontId="24" fillId="2" borderId="19" xfId="0" applyNumberFormat="1" applyFont="1" applyFill="1" applyBorder="1" applyProtection="1"/>
    <xf numFmtId="9" fontId="24" fillId="2" borderId="17" xfId="0" applyNumberFormat="1" applyFont="1" applyFill="1" applyBorder="1" applyProtection="1"/>
    <xf numFmtId="0" fontId="2" fillId="2" borderId="0" xfId="0" applyFont="1" applyFill="1" applyBorder="1" applyAlignment="1" applyProtection="1">
      <alignment horizontal="center"/>
    </xf>
    <xf numFmtId="0" fontId="39" fillId="2" borderId="0" xfId="0" applyFont="1" applyFill="1" applyAlignment="1" applyProtection="1"/>
    <xf numFmtId="0" fontId="5" fillId="2" borderId="0" xfId="0" applyFont="1" applyFill="1" applyAlignment="1" applyProtection="1">
      <alignment horizontal="center"/>
    </xf>
    <xf numFmtId="0" fontId="2" fillId="2" borderId="10" xfId="0" applyFont="1" applyFill="1" applyBorder="1" applyAlignment="1" applyProtection="1">
      <alignment horizontal="center"/>
    </xf>
    <xf numFmtId="0" fontId="2" fillId="2" borderId="1" xfId="0" applyFont="1" applyFill="1" applyBorder="1" applyAlignment="1" applyProtection="1">
      <alignment horizontal="center"/>
    </xf>
    <xf numFmtId="0" fontId="2" fillId="2" borderId="44" xfId="0" applyFont="1" applyFill="1" applyBorder="1" applyAlignment="1" applyProtection="1">
      <alignment horizontal="center"/>
    </xf>
    <xf numFmtId="0" fontId="2" fillId="2" borderId="49" xfId="0" applyFont="1" applyFill="1" applyBorder="1" applyAlignment="1" applyProtection="1">
      <alignment horizontal="center"/>
    </xf>
    <xf numFmtId="0" fontId="2" fillId="2" borderId="54" xfId="0" applyFont="1" applyFill="1" applyBorder="1" applyProtection="1"/>
    <xf numFmtId="0" fontId="2" fillId="2" borderId="46" xfId="0" applyFont="1" applyFill="1" applyBorder="1" applyProtection="1"/>
    <xf numFmtId="0" fontId="2" fillId="2" borderId="45" xfId="0" applyFont="1" applyFill="1" applyBorder="1" applyProtection="1"/>
    <xf numFmtId="0" fontId="26" fillId="2" borderId="9" xfId="0" applyFont="1" applyFill="1" applyBorder="1" applyAlignment="1" applyProtection="1">
      <alignment horizontal="left"/>
    </xf>
    <xf numFmtId="0" fontId="5" fillId="2" borderId="5" xfId="0" applyFont="1" applyFill="1" applyBorder="1" applyAlignment="1" applyProtection="1">
      <alignment horizontal="left"/>
    </xf>
    <xf numFmtId="0" fontId="5" fillId="2" borderId="5" xfId="0" applyFont="1" applyFill="1" applyBorder="1" applyAlignment="1" applyProtection="1">
      <alignment horizontal="center"/>
    </xf>
    <xf numFmtId="0" fontId="2" fillId="2" borderId="44" xfId="0" applyFont="1" applyFill="1" applyBorder="1" applyProtection="1"/>
    <xf numFmtId="0" fontId="2" fillId="2" borderId="43" xfId="0" applyFont="1" applyFill="1" applyBorder="1" applyProtection="1"/>
    <xf numFmtId="0" fontId="2" fillId="2" borderId="50" xfId="0" applyFont="1" applyFill="1" applyBorder="1" applyProtection="1"/>
    <xf numFmtId="0" fontId="2" fillId="2" borderId="35" xfId="0" applyFont="1" applyFill="1" applyBorder="1" applyProtection="1"/>
    <xf numFmtId="0" fontId="2" fillId="2" borderId="47" xfId="0" applyFont="1" applyFill="1" applyBorder="1" applyProtection="1"/>
    <xf numFmtId="0" fontId="5" fillId="2" borderId="25" xfId="0" applyFont="1" applyFill="1" applyBorder="1" applyAlignment="1" applyProtection="1">
      <alignment horizontal="left"/>
    </xf>
    <xf numFmtId="0" fontId="6" fillId="2" borderId="26" xfId="0" applyFont="1" applyFill="1" applyBorder="1" applyProtection="1"/>
    <xf numFmtId="0" fontId="6" fillId="2" borderId="26" xfId="0" applyFont="1" applyFill="1" applyBorder="1" applyAlignment="1" applyProtection="1">
      <alignment horizontal="center"/>
    </xf>
    <xf numFmtId="0" fontId="2" fillId="2" borderId="26" xfId="0" applyFont="1" applyFill="1" applyBorder="1" applyProtection="1"/>
    <xf numFmtId="0" fontId="2" fillId="2" borderId="27" xfId="0" applyFont="1" applyFill="1" applyBorder="1" applyProtection="1"/>
    <xf numFmtId="0" fontId="2" fillId="2" borderId="42" xfId="0" applyFont="1" applyFill="1" applyBorder="1" applyProtection="1"/>
    <xf numFmtId="0" fontId="2" fillId="2" borderId="40" xfId="0" applyFont="1" applyFill="1" applyBorder="1" applyProtection="1"/>
    <xf numFmtId="0" fontId="2" fillId="2" borderId="23" xfId="0" applyFont="1" applyFill="1" applyBorder="1" applyProtection="1"/>
    <xf numFmtId="0" fontId="2" fillId="2" borderId="28" xfId="0" applyFont="1" applyFill="1" applyBorder="1" applyProtection="1"/>
    <xf numFmtId="3" fontId="2" fillId="2" borderId="20" xfId="0" applyNumberFormat="1" applyFont="1" applyFill="1" applyBorder="1" applyAlignment="1" applyProtection="1">
      <alignment horizontal="right"/>
    </xf>
    <xf numFmtId="0" fontId="2" fillId="2" borderId="36" xfId="0" applyFont="1" applyFill="1" applyBorder="1" applyProtection="1"/>
    <xf numFmtId="0" fontId="2" fillId="0" borderId="67" xfId="0" applyFont="1" applyFill="1" applyBorder="1" applyProtection="1"/>
    <xf numFmtId="0" fontId="2" fillId="0" borderId="67" xfId="0" applyFont="1" applyFill="1" applyBorder="1" applyAlignment="1" applyProtection="1">
      <alignment horizontal="center"/>
    </xf>
    <xf numFmtId="3" fontId="2" fillId="2" borderId="38" xfId="0" applyNumberFormat="1" applyFont="1" applyFill="1" applyBorder="1" applyAlignment="1" applyProtection="1">
      <alignment horizontal="right"/>
    </xf>
    <xf numFmtId="3" fontId="2" fillId="2" borderId="39" xfId="0" applyNumberFormat="1" applyFont="1" applyFill="1" applyBorder="1" applyAlignment="1" applyProtection="1">
      <alignment horizontal="right"/>
    </xf>
    <xf numFmtId="0" fontId="2" fillId="2" borderId="9" xfId="0" applyFont="1" applyFill="1" applyBorder="1" applyProtection="1"/>
    <xf numFmtId="0" fontId="2" fillId="2" borderId="5" xfId="0" applyFont="1" applyFill="1" applyBorder="1" applyAlignment="1" applyProtection="1">
      <alignment horizontal="center"/>
    </xf>
    <xf numFmtId="3" fontId="2" fillId="2" borderId="43" xfId="0" applyNumberFormat="1" applyFont="1" applyFill="1" applyBorder="1" applyAlignment="1" applyProtection="1">
      <alignment horizontal="right"/>
    </xf>
    <xf numFmtId="3" fontId="5" fillId="2" borderId="8" xfId="0" applyNumberFormat="1" applyFont="1" applyFill="1" applyBorder="1" applyAlignment="1" applyProtection="1">
      <alignment horizontal="right"/>
    </xf>
    <xf numFmtId="3" fontId="5" fillId="2" borderId="42" xfId="0" applyNumberFormat="1" applyFont="1" applyFill="1" applyBorder="1" applyAlignment="1" applyProtection="1">
      <alignment horizontal="right"/>
    </xf>
    <xf numFmtId="3" fontId="5" fillId="2" borderId="40" xfId="0" applyNumberFormat="1" applyFont="1" applyFill="1" applyBorder="1" applyAlignment="1" applyProtection="1">
      <alignment horizontal="right"/>
    </xf>
    <xf numFmtId="3" fontId="5" fillId="2" borderId="23" xfId="0" applyNumberFormat="1" applyFont="1" applyFill="1" applyBorder="1" applyAlignment="1" applyProtection="1">
      <alignment horizontal="right"/>
    </xf>
    <xf numFmtId="3" fontId="5" fillId="2" borderId="28" xfId="0" applyNumberFormat="1" applyFont="1" applyFill="1" applyBorder="1" applyAlignment="1" applyProtection="1">
      <alignment horizontal="right"/>
    </xf>
    <xf numFmtId="0" fontId="5" fillId="2" borderId="10" xfId="0" applyFont="1" applyFill="1" applyBorder="1" applyAlignment="1" applyProtection="1">
      <alignment horizontal="center"/>
    </xf>
    <xf numFmtId="0" fontId="2" fillId="2" borderId="10" xfId="0" applyFont="1" applyFill="1" applyBorder="1" applyAlignment="1" applyProtection="1">
      <alignment horizontal="left"/>
    </xf>
    <xf numFmtId="0" fontId="2" fillId="2" borderId="14" xfId="0" applyFont="1" applyFill="1" applyBorder="1" applyAlignment="1" applyProtection="1">
      <alignment horizontal="left"/>
    </xf>
    <xf numFmtId="0" fontId="6" fillId="2" borderId="11" xfId="0" applyFont="1" applyFill="1" applyBorder="1" applyAlignment="1" applyProtection="1">
      <alignment horizontal="center"/>
    </xf>
    <xf numFmtId="0" fontId="2" fillId="2" borderId="11" xfId="0" applyFont="1" applyFill="1" applyBorder="1" applyProtection="1"/>
    <xf numFmtId="0" fontId="2" fillId="2" borderId="66" xfId="0" applyFont="1" applyFill="1" applyBorder="1" applyProtection="1"/>
    <xf numFmtId="0" fontId="2" fillId="2" borderId="3" xfId="0" applyFont="1" applyFill="1" applyBorder="1" applyAlignment="1" applyProtection="1">
      <alignment horizontal="right"/>
    </xf>
    <xf numFmtId="3" fontId="2" fillId="2" borderId="13" xfId="0" applyNumberFormat="1" applyFont="1" applyFill="1" applyBorder="1" applyAlignment="1" applyProtection="1">
      <alignment horizontal="right"/>
    </xf>
    <xf numFmtId="0" fontId="2" fillId="2" borderId="36" xfId="0" applyFont="1" applyFill="1" applyBorder="1" applyAlignment="1" applyProtection="1">
      <alignment horizontal="right"/>
    </xf>
    <xf numFmtId="0" fontId="6" fillId="2" borderId="1" xfId="0" applyFont="1" applyFill="1" applyBorder="1" applyAlignment="1" applyProtection="1">
      <alignment horizontal="center"/>
    </xf>
    <xf numFmtId="0" fontId="5" fillId="2" borderId="36" xfId="0" applyFont="1" applyFill="1" applyBorder="1" applyAlignment="1" applyProtection="1">
      <alignment horizontal="left"/>
    </xf>
    <xf numFmtId="0" fontId="6" fillId="2" borderId="67" xfId="0" applyFont="1" applyFill="1" applyBorder="1" applyProtection="1"/>
    <xf numFmtId="0" fontId="6" fillId="2" borderId="67" xfId="0" applyFont="1" applyFill="1" applyBorder="1" applyAlignment="1" applyProtection="1">
      <alignment horizontal="center"/>
    </xf>
    <xf numFmtId="0" fontId="2" fillId="2" borderId="67" xfId="0" applyFont="1" applyFill="1" applyBorder="1" applyProtection="1"/>
    <xf numFmtId="0" fontId="2" fillId="2" borderId="20" xfId="0" applyFont="1" applyFill="1" applyBorder="1" applyProtection="1"/>
    <xf numFmtId="0" fontId="2" fillId="2" borderId="18" xfId="0" applyFont="1" applyFill="1" applyBorder="1" applyProtection="1"/>
    <xf numFmtId="0" fontId="6" fillId="2" borderId="1" xfId="0" applyFont="1" applyFill="1" applyBorder="1" applyProtection="1"/>
    <xf numFmtId="3" fontId="2" fillId="2" borderId="5" xfId="0" applyNumberFormat="1" applyFont="1" applyFill="1" applyBorder="1" applyAlignment="1" applyProtection="1">
      <alignment horizontal="right"/>
    </xf>
    <xf numFmtId="0" fontId="5" fillId="2" borderId="5" xfId="0" applyFont="1" applyFill="1" applyBorder="1" applyProtection="1"/>
    <xf numFmtId="3" fontId="2" fillId="2" borderId="15" xfId="0" quotePrefix="1" applyNumberFormat="1" applyFont="1" applyFill="1" applyBorder="1" applyAlignment="1" applyProtection="1">
      <alignment horizontal="right"/>
    </xf>
    <xf numFmtId="3" fontId="2" fillId="2" borderId="18" xfId="0" quotePrefix="1" applyNumberFormat="1" applyFont="1" applyFill="1" applyBorder="1" applyAlignment="1" applyProtection="1">
      <alignment horizontal="right"/>
    </xf>
    <xf numFmtId="0" fontId="5" fillId="2" borderId="33" xfId="0" applyFont="1" applyFill="1" applyBorder="1" applyProtection="1"/>
    <xf numFmtId="0" fontId="5" fillId="2" borderId="46" xfId="0" applyFont="1" applyFill="1" applyBorder="1" applyAlignment="1" applyProtection="1">
      <alignment horizontal="center"/>
    </xf>
    <xf numFmtId="0" fontId="8" fillId="2" borderId="26" xfId="0" applyFont="1" applyFill="1" applyBorder="1" applyProtection="1"/>
    <xf numFmtId="0" fontId="8" fillId="2" borderId="26" xfId="0" applyFont="1" applyFill="1" applyBorder="1" applyAlignment="1" applyProtection="1">
      <alignment horizontal="center"/>
    </xf>
    <xf numFmtId="0" fontId="5" fillId="2" borderId="26" xfId="0" applyFont="1" applyFill="1" applyBorder="1" applyProtection="1"/>
    <xf numFmtId="0" fontId="2" fillId="6" borderId="67" xfId="0" applyFont="1" applyFill="1" applyBorder="1" applyProtection="1"/>
    <xf numFmtId="3" fontId="2" fillId="2" borderId="83" xfId="0" applyNumberFormat="1" applyFont="1" applyFill="1" applyBorder="1" applyAlignment="1" applyProtection="1">
      <alignment horizontal="right"/>
    </xf>
    <xf numFmtId="0" fontId="6" fillId="2" borderId="3" xfId="0" applyFont="1" applyFill="1" applyBorder="1" applyProtection="1"/>
    <xf numFmtId="0" fontId="5" fillId="2" borderId="1" xfId="0" applyFont="1" applyFill="1" applyBorder="1" applyAlignment="1" applyProtection="1">
      <alignment horizontal="center"/>
    </xf>
    <xf numFmtId="0" fontId="2" fillId="2" borderId="6" xfId="0" applyFont="1" applyFill="1" applyBorder="1" applyProtection="1"/>
    <xf numFmtId="0" fontId="2" fillId="6" borderId="67" xfId="0" applyFont="1" applyFill="1" applyBorder="1" applyAlignment="1" applyProtection="1">
      <alignment horizontal="center"/>
    </xf>
    <xf numFmtId="3" fontId="2" fillId="2" borderId="86" xfId="0" applyNumberFormat="1" applyFont="1" applyFill="1" applyBorder="1" applyAlignment="1" applyProtection="1">
      <alignment horizontal="right"/>
    </xf>
    <xf numFmtId="3" fontId="2" fillId="2" borderId="31" xfId="0" applyNumberFormat="1" applyFont="1" applyFill="1" applyBorder="1" applyAlignment="1" applyProtection="1">
      <alignment horizontal="right"/>
    </xf>
    <xf numFmtId="3" fontId="2" fillId="2" borderId="32" xfId="0" applyNumberFormat="1" applyFont="1" applyFill="1" applyBorder="1" applyAlignment="1" applyProtection="1">
      <alignment horizontal="right"/>
    </xf>
    <xf numFmtId="0" fontId="2" fillId="2" borderId="12" xfId="0" applyFont="1" applyFill="1" applyBorder="1" applyAlignment="1" applyProtection="1">
      <alignment horizontal="center"/>
    </xf>
    <xf numFmtId="0" fontId="2" fillId="2" borderId="73" xfId="0" applyFont="1" applyFill="1" applyBorder="1" applyProtection="1"/>
    <xf numFmtId="0" fontId="2" fillId="2" borderId="93" xfId="0" applyFont="1" applyFill="1" applyBorder="1" applyProtection="1"/>
    <xf numFmtId="3" fontId="2" fillId="2" borderId="94" xfId="0" applyNumberFormat="1" applyFont="1" applyFill="1" applyBorder="1" applyAlignment="1" applyProtection="1">
      <alignment horizontal="right"/>
    </xf>
    <xf numFmtId="3" fontId="2" fillId="2" borderId="95" xfId="0" applyNumberFormat="1" applyFont="1" applyFill="1" applyBorder="1" applyAlignment="1" applyProtection="1">
      <alignment horizontal="right"/>
    </xf>
    <xf numFmtId="3" fontId="2" fillId="2" borderId="20" xfId="0" quotePrefix="1" applyNumberFormat="1" applyFont="1" applyFill="1" applyBorder="1" applyAlignment="1" applyProtection="1">
      <alignment horizontal="right"/>
    </xf>
    <xf numFmtId="0" fontId="2" fillId="2" borderId="14" xfId="0" applyFont="1" applyFill="1" applyBorder="1" applyProtection="1"/>
    <xf numFmtId="3" fontId="2" fillId="2" borderId="13" xfId="0" quotePrefix="1" applyNumberFormat="1" applyFont="1" applyFill="1" applyBorder="1" applyAlignment="1" applyProtection="1">
      <alignment horizontal="right"/>
    </xf>
    <xf numFmtId="0" fontId="2" fillId="2" borderId="33" xfId="0" applyFont="1" applyFill="1" applyBorder="1" applyProtection="1"/>
    <xf numFmtId="0" fontId="2" fillId="2" borderId="46" xfId="0" applyFont="1" applyFill="1" applyBorder="1" applyAlignment="1" applyProtection="1">
      <alignment horizontal="center"/>
    </xf>
    <xf numFmtId="3" fontId="2" fillId="2" borderId="12" xfId="0" quotePrefix="1" applyNumberFormat="1" applyFont="1" applyFill="1" applyBorder="1" applyAlignment="1" applyProtection="1">
      <alignment horizontal="right"/>
    </xf>
    <xf numFmtId="3" fontId="2" fillId="2" borderId="21" xfId="0" quotePrefix="1" applyNumberFormat="1" applyFont="1" applyFill="1" applyBorder="1" applyAlignment="1" applyProtection="1">
      <alignment horizontal="right"/>
    </xf>
    <xf numFmtId="0" fontId="2" fillId="6" borderId="4" xfId="0" applyFont="1" applyFill="1" applyBorder="1"/>
    <xf numFmtId="0" fontId="7" fillId="2" borderId="46" xfId="0" applyFont="1" applyFill="1" applyBorder="1" applyAlignment="1"/>
    <xf numFmtId="0" fontId="7" fillId="2" borderId="47" xfId="0" applyFont="1" applyFill="1" applyBorder="1" applyAlignment="1">
      <alignment horizontal="right"/>
    </xf>
    <xf numFmtId="10" fontId="2" fillId="2" borderId="28" xfId="3" applyNumberFormat="1" applyFont="1" applyFill="1" applyBorder="1"/>
    <xf numFmtId="10" fontId="2" fillId="2" borderId="18" xfId="3" applyNumberFormat="1" applyFont="1" applyFill="1" applyBorder="1"/>
    <xf numFmtId="10" fontId="2" fillId="2" borderId="21" xfId="3" applyNumberFormat="1" applyFont="1" applyFill="1" applyBorder="1"/>
    <xf numFmtId="3" fontId="2" fillId="0" borderId="21" xfId="3" applyNumberFormat="1" applyFont="1" applyFill="1" applyBorder="1"/>
    <xf numFmtId="164" fontId="2" fillId="2" borderId="47" xfId="1" applyNumberFormat="1" applyFont="1" applyFill="1" applyBorder="1"/>
    <xf numFmtId="3" fontId="6" fillId="6" borderId="12" xfId="1" applyNumberFormat="1" applyFont="1" applyFill="1" applyBorder="1" applyProtection="1"/>
    <xf numFmtId="3" fontId="6" fillId="6" borderId="11" xfId="1" applyNumberFormat="1" applyFont="1" applyFill="1" applyBorder="1" applyProtection="1"/>
    <xf numFmtId="0" fontId="2" fillId="2" borderId="46" xfId="0" applyFont="1" applyFill="1" applyBorder="1" applyAlignment="1" applyProtection="1"/>
    <xf numFmtId="1" fontId="2" fillId="2" borderId="46" xfId="0" applyNumberFormat="1" applyFont="1" applyFill="1" applyBorder="1" applyAlignment="1" applyProtection="1"/>
    <xf numFmtId="3" fontId="2" fillId="0" borderId="0" xfId="1" applyNumberFormat="1" applyFont="1" applyFill="1" applyBorder="1" applyProtection="1"/>
    <xf numFmtId="3" fontId="2" fillId="0" borderId="13" xfId="1" applyNumberFormat="1" applyFont="1" applyFill="1" applyBorder="1" applyProtection="1"/>
    <xf numFmtId="0" fontId="2" fillId="0" borderId="0" xfId="0" applyFont="1" applyFill="1" applyProtection="1"/>
    <xf numFmtId="3" fontId="43" fillId="0" borderId="0" xfId="1" applyNumberFormat="1" applyFont="1" applyFill="1" applyBorder="1" applyProtection="1"/>
    <xf numFmtId="3" fontId="43" fillId="0" borderId="3" xfId="1" applyNumberFormat="1" applyFont="1" applyFill="1" applyBorder="1" applyProtection="1"/>
    <xf numFmtId="3" fontId="43" fillId="0" borderId="13" xfId="1" applyNumberFormat="1" applyFont="1" applyFill="1" applyBorder="1" applyProtection="1"/>
    <xf numFmtId="0" fontId="44" fillId="0" borderId="0" xfId="0" applyFont="1" applyFill="1" applyProtection="1"/>
    <xf numFmtId="0" fontId="7" fillId="2" borderId="46" xfId="0" applyFont="1" applyFill="1" applyBorder="1" applyAlignment="1" applyProtection="1"/>
    <xf numFmtId="3" fontId="5" fillId="6" borderId="2" xfId="1" applyNumberFormat="1" applyFont="1" applyFill="1" applyBorder="1" applyProtection="1"/>
    <xf numFmtId="3" fontId="43" fillId="6" borderId="6" xfId="1" applyNumberFormat="1" applyFont="1" applyFill="1" applyBorder="1" applyProtection="1"/>
    <xf numFmtId="3" fontId="43" fillId="6" borderId="13" xfId="1" applyNumberFormat="1" applyFont="1" applyFill="1" applyBorder="1" applyAlignment="1" applyProtection="1"/>
    <xf numFmtId="3" fontId="43" fillId="6" borderId="14" xfId="1" applyNumberFormat="1" applyFont="1" applyFill="1" applyBorder="1" applyAlignment="1" applyProtection="1"/>
    <xf numFmtId="3" fontId="6" fillId="6" borderId="4" xfId="1" applyNumberFormat="1" applyFont="1" applyFill="1" applyBorder="1" applyProtection="1"/>
    <xf numFmtId="3" fontId="7" fillId="2" borderId="17" xfId="0" applyNumberFormat="1" applyFont="1" applyFill="1" applyBorder="1" applyAlignment="1" applyProtection="1">
      <alignment horizontal="right"/>
    </xf>
    <xf numFmtId="0" fontId="42" fillId="2" borderId="14" xfId="0" quotePrefix="1" applyFont="1" applyFill="1" applyBorder="1" applyAlignment="1" applyProtection="1">
      <alignment horizontal="left" wrapText="1"/>
    </xf>
    <xf numFmtId="0" fontId="26" fillId="2" borderId="50" xfId="0" applyFont="1" applyFill="1" applyBorder="1" applyAlignment="1" applyProtection="1">
      <alignment horizontal="right"/>
    </xf>
    <xf numFmtId="0" fontId="26" fillId="2" borderId="12" xfId="0" applyFont="1" applyFill="1" applyBorder="1" applyAlignment="1" applyProtection="1">
      <alignment horizontal="center"/>
    </xf>
    <xf numFmtId="3" fontId="14" fillId="2" borderId="13" xfId="0" applyNumberFormat="1" applyFont="1" applyFill="1" applyBorder="1" applyAlignment="1" applyProtection="1">
      <alignment horizontal="right" wrapText="1"/>
    </xf>
    <xf numFmtId="3" fontId="49" fillId="2" borderId="13" xfId="0" applyNumberFormat="1" applyFont="1" applyFill="1" applyBorder="1" applyAlignment="1" applyProtection="1">
      <alignment horizontal="right" wrapText="1"/>
    </xf>
    <xf numFmtId="3" fontId="11" fillId="2" borderId="13" xfId="0" applyNumberFormat="1" applyFont="1" applyFill="1" applyBorder="1" applyAlignment="1" applyProtection="1">
      <alignment horizontal="right" wrapText="1"/>
    </xf>
    <xf numFmtId="3" fontId="7" fillId="2" borderId="13" xfId="0" applyNumberFormat="1" applyFont="1" applyFill="1" applyBorder="1" applyAlignment="1" applyProtection="1">
      <alignment horizontal="right" wrapText="1"/>
    </xf>
    <xf numFmtId="0" fontId="26" fillId="2" borderId="45" xfId="0" applyFont="1" applyFill="1" applyBorder="1" applyAlignment="1" applyProtection="1">
      <alignment horizontal="right"/>
    </xf>
    <xf numFmtId="3" fontId="14" fillId="2" borderId="4" xfId="0" applyNumberFormat="1" applyFont="1" applyFill="1" applyBorder="1" applyAlignment="1" applyProtection="1">
      <alignment horizontal="right" wrapText="1"/>
    </xf>
    <xf numFmtId="3" fontId="49" fillId="2" borderId="4" xfId="0" applyNumberFormat="1" applyFont="1" applyFill="1" applyBorder="1" applyAlignment="1" applyProtection="1">
      <alignment horizontal="right" wrapText="1"/>
    </xf>
    <xf numFmtId="3" fontId="11" fillId="2" borderId="4" xfId="0" applyNumberFormat="1" applyFont="1" applyFill="1" applyBorder="1" applyAlignment="1" applyProtection="1">
      <alignment horizontal="right" wrapText="1"/>
    </xf>
    <xf numFmtId="3" fontId="7" fillId="2" borderId="4" xfId="0" applyNumberFormat="1" applyFont="1" applyFill="1" applyBorder="1" applyAlignment="1" applyProtection="1">
      <alignment wrapText="1"/>
    </xf>
    <xf numFmtId="0" fontId="26" fillId="2" borderId="47" xfId="0" applyFont="1" applyFill="1" applyBorder="1" applyAlignment="1" applyProtection="1">
      <alignment horizontal="right"/>
    </xf>
    <xf numFmtId="0" fontId="35" fillId="2" borderId="0" xfId="0" applyFont="1" applyFill="1" applyBorder="1" applyAlignment="1" applyProtection="1">
      <alignment wrapText="1"/>
    </xf>
    <xf numFmtId="3" fontId="35" fillId="2" borderId="8" xfId="0" applyNumberFormat="1" applyFont="1" applyFill="1" applyBorder="1" applyAlignment="1" applyProtection="1">
      <alignment horizontal="right" wrapText="1"/>
    </xf>
    <xf numFmtId="0" fontId="35" fillId="2" borderId="13" xfId="0" applyNumberFormat="1" applyFont="1" applyFill="1" applyBorder="1" applyAlignment="1" applyProtection="1">
      <alignment horizontal="center" wrapText="1"/>
    </xf>
    <xf numFmtId="3" fontId="35" fillId="2" borderId="13" xfId="0" applyNumberFormat="1" applyFont="1" applyFill="1" applyBorder="1" applyAlignment="1" applyProtection="1">
      <alignment horizontal="right" wrapText="1"/>
    </xf>
    <xf numFmtId="3" fontId="35" fillId="2" borderId="20" xfId="0" applyNumberFormat="1" applyFont="1" applyFill="1" applyBorder="1" applyAlignment="1" applyProtection="1">
      <alignment wrapText="1"/>
    </xf>
    <xf numFmtId="3" fontId="35" fillId="2" borderId="4" xfId="0" applyNumberFormat="1" applyFont="1" applyFill="1" applyBorder="1" applyAlignment="1" applyProtection="1">
      <alignment wrapText="1"/>
    </xf>
    <xf numFmtId="3" fontId="14" fillId="6" borderId="99" xfId="0" applyNumberFormat="1" applyFont="1" applyFill="1" applyBorder="1" applyAlignment="1" applyProtection="1">
      <alignment horizontal="right" wrapText="1"/>
    </xf>
    <xf numFmtId="3" fontId="14" fillId="6" borderId="13" xfId="0" applyNumberFormat="1" applyFont="1" applyFill="1" applyBorder="1" applyAlignment="1" applyProtection="1">
      <alignment horizontal="right" wrapText="1"/>
    </xf>
    <xf numFmtId="3" fontId="14" fillId="0" borderId="97" xfId="0" applyNumberFormat="1" applyFont="1" applyFill="1" applyBorder="1" applyAlignment="1" applyProtection="1">
      <alignment wrapText="1"/>
    </xf>
    <xf numFmtId="3" fontId="49" fillId="6" borderId="13" xfId="0" applyNumberFormat="1" applyFont="1" applyFill="1" applyBorder="1" applyAlignment="1" applyProtection="1">
      <alignment horizontal="right" wrapText="1"/>
    </xf>
    <xf numFmtId="3" fontId="11" fillId="6" borderId="61" xfId="0" applyNumberFormat="1" applyFont="1" applyFill="1" applyBorder="1" applyAlignment="1" applyProtection="1">
      <alignment horizontal="right" wrapText="1"/>
    </xf>
    <xf numFmtId="3" fontId="30" fillId="6" borderId="61" xfId="0" applyNumberFormat="1" applyFont="1" applyFill="1" applyBorder="1" applyAlignment="1" applyProtection="1">
      <alignment horizontal="right" wrapText="1"/>
    </xf>
    <xf numFmtId="3" fontId="14" fillId="6" borderId="4" xfId="0" applyNumberFormat="1" applyFont="1" applyFill="1" applyBorder="1" applyAlignment="1" applyProtection="1">
      <alignment wrapText="1"/>
    </xf>
    <xf numFmtId="3" fontId="49" fillId="6" borderId="4" xfId="0" applyNumberFormat="1" applyFont="1" applyFill="1" applyBorder="1" applyAlignment="1" applyProtection="1">
      <alignment wrapText="1"/>
    </xf>
    <xf numFmtId="3" fontId="11" fillId="6" borderId="97" xfId="0" applyNumberFormat="1" applyFont="1" applyFill="1" applyBorder="1" applyAlignment="1" applyProtection="1">
      <alignment wrapText="1"/>
    </xf>
    <xf numFmtId="3" fontId="30" fillId="6" borderId="97" xfId="0" applyNumberFormat="1" applyFont="1" applyFill="1" applyBorder="1" applyAlignment="1" applyProtection="1">
      <alignment wrapText="1"/>
    </xf>
    <xf numFmtId="3" fontId="35" fillId="2" borderId="13" xfId="0" applyNumberFormat="1" applyFont="1" applyFill="1" applyBorder="1" applyAlignment="1" applyProtection="1">
      <alignment wrapText="1"/>
    </xf>
    <xf numFmtId="0" fontId="7" fillId="2" borderId="40" xfId="0" applyFont="1" applyFill="1" applyBorder="1"/>
    <xf numFmtId="0" fontId="7" fillId="2" borderId="12" xfId="0" applyFont="1" applyFill="1" applyBorder="1" applyAlignment="1">
      <alignment horizontal="right"/>
    </xf>
    <xf numFmtId="3" fontId="9" fillId="2" borderId="11" xfId="0" applyNumberFormat="1" applyFont="1" applyFill="1" applyBorder="1" applyAlignment="1">
      <alignment horizontal="right"/>
    </xf>
    <xf numFmtId="3" fontId="9" fillId="2" borderId="13" xfId="0" applyNumberFormat="1" applyFont="1" applyFill="1" applyBorder="1"/>
    <xf numFmtId="0" fontId="9" fillId="2" borderId="40" xfId="0" applyFont="1" applyFill="1" applyBorder="1"/>
    <xf numFmtId="164" fontId="9" fillId="2" borderId="20" xfId="1" applyNumberFormat="1" applyFont="1" applyFill="1" applyBorder="1"/>
    <xf numFmtId="164" fontId="9" fillId="2" borderId="40" xfId="1" applyNumberFormat="1" applyFont="1" applyFill="1" applyBorder="1"/>
    <xf numFmtId="164" fontId="9" fillId="2" borderId="13" xfId="1" applyNumberFormat="1" applyFont="1" applyFill="1" applyBorder="1"/>
    <xf numFmtId="164" fontId="9" fillId="2" borderId="11" xfId="1" applyNumberFormat="1" applyFont="1" applyFill="1" applyBorder="1"/>
    <xf numFmtId="3" fontId="9" fillId="2" borderId="13" xfId="0" applyNumberFormat="1" applyFont="1" applyFill="1" applyBorder="1" applyAlignment="1">
      <alignment horizontal="right"/>
    </xf>
    <xf numFmtId="0" fontId="7" fillId="2" borderId="2" xfId="0" applyFont="1" applyFill="1" applyBorder="1"/>
    <xf numFmtId="164" fontId="9" fillId="2" borderId="13" xfId="0" applyNumberFormat="1" applyFont="1" applyFill="1" applyBorder="1"/>
    <xf numFmtId="164" fontId="9" fillId="2" borderId="20" xfId="0" applyNumberFormat="1" applyFont="1" applyFill="1" applyBorder="1"/>
    <xf numFmtId="0" fontId="9" fillId="2" borderId="13" xfId="0" applyFont="1" applyFill="1" applyBorder="1"/>
    <xf numFmtId="0" fontId="8" fillId="0" borderId="33" xfId="0" applyFont="1" applyFill="1" applyBorder="1"/>
    <xf numFmtId="0" fontId="10" fillId="0" borderId="46" xfId="0" applyFont="1" applyFill="1" applyBorder="1"/>
    <xf numFmtId="0" fontId="10" fillId="2" borderId="12" xfId="0" applyFont="1" applyFill="1" applyBorder="1"/>
    <xf numFmtId="164" fontId="9" fillId="2" borderId="1" xfId="0" applyNumberFormat="1" applyFont="1" applyFill="1" applyBorder="1"/>
    <xf numFmtId="49" fontId="7" fillId="2" borderId="3" xfId="0" applyNumberFormat="1" applyFont="1" applyFill="1" applyBorder="1"/>
    <xf numFmtId="164" fontId="2" fillId="2" borderId="0" xfId="0" applyNumberFormat="1" applyFont="1" applyFill="1" applyBorder="1" applyProtection="1"/>
    <xf numFmtId="3" fontId="43" fillId="0" borderId="9" xfId="1" applyNumberFormat="1" applyFont="1" applyFill="1" applyBorder="1" applyAlignment="1" applyProtection="1"/>
    <xf numFmtId="3" fontId="43" fillId="0" borderId="65" xfId="1" applyNumberFormat="1" applyFont="1" applyFill="1" applyBorder="1" applyAlignment="1" applyProtection="1"/>
    <xf numFmtId="3" fontId="43" fillId="0" borderId="79" xfId="1" applyNumberFormat="1" applyFont="1" applyFill="1" applyBorder="1" applyProtection="1"/>
    <xf numFmtId="3" fontId="32" fillId="0" borderId="0" xfId="0" applyNumberFormat="1" applyFont="1" applyFill="1" applyAlignment="1" applyProtection="1"/>
    <xf numFmtId="0" fontId="45" fillId="0" borderId="3" xfId="0" applyFont="1" applyFill="1" applyBorder="1" applyAlignment="1" applyProtection="1">
      <alignment horizontal="left"/>
    </xf>
    <xf numFmtId="0" fontId="43" fillId="0" borderId="0" xfId="0" applyFont="1" applyFill="1" applyBorder="1" applyAlignment="1" applyProtection="1">
      <alignment horizontal="left"/>
    </xf>
    <xf numFmtId="0" fontId="43" fillId="0" borderId="0" xfId="0" applyFont="1" applyFill="1" applyBorder="1" applyProtection="1"/>
    <xf numFmtId="0" fontId="7" fillId="2" borderId="5" xfId="0" applyFont="1" applyFill="1" applyBorder="1" applyProtection="1"/>
    <xf numFmtId="0" fontId="2" fillId="2" borderId="0" xfId="0" applyFont="1" applyFill="1" applyBorder="1" applyAlignment="1" applyProtection="1">
      <alignment horizontal="center"/>
    </xf>
    <xf numFmtId="0" fontId="43" fillId="2" borderId="0" xfId="0" applyFont="1" applyFill="1" applyBorder="1" applyAlignment="1"/>
    <xf numFmtId="0" fontId="43" fillId="2" borderId="4" xfId="0" applyFont="1" applyFill="1" applyBorder="1" applyAlignment="1"/>
    <xf numFmtId="0" fontId="5" fillId="6" borderId="4" xfId="0" applyFont="1" applyFill="1" applyBorder="1" applyAlignment="1" applyProtection="1"/>
    <xf numFmtId="0" fontId="5" fillId="6" borderId="4" xfId="0" applyFont="1" applyFill="1" applyBorder="1" applyAlignment="1"/>
    <xf numFmtId="0" fontId="5" fillId="0" borderId="0" xfId="0" applyFont="1" applyFill="1" applyBorder="1" applyAlignment="1"/>
    <xf numFmtId="0" fontId="6" fillId="0" borderId="0" xfId="0" applyFont="1" applyFill="1" applyBorder="1" applyAlignment="1"/>
    <xf numFmtId="0" fontId="32" fillId="2" borderId="0" xfId="0" applyFont="1" applyFill="1" applyProtection="1"/>
    <xf numFmtId="0" fontId="32" fillId="2" borderId="0" xfId="0" applyFont="1" applyFill="1" applyBorder="1" applyProtection="1"/>
    <xf numFmtId="10" fontId="2" fillId="6" borderId="12" xfId="3" applyNumberFormat="1" applyFont="1" applyFill="1" applyBorder="1" applyAlignment="1" applyProtection="1">
      <alignment horizontal="right"/>
    </xf>
    <xf numFmtId="10" fontId="2" fillId="6" borderId="50" xfId="3" applyNumberFormat="1" applyFont="1" applyFill="1" applyBorder="1" applyAlignment="1" applyProtection="1">
      <alignment horizontal="right"/>
    </xf>
    <xf numFmtId="10" fontId="2" fillId="6" borderId="35" xfId="3" applyNumberFormat="1" applyFont="1" applyFill="1" applyBorder="1" applyAlignment="1" applyProtection="1">
      <alignment horizontal="right"/>
    </xf>
    <xf numFmtId="10" fontId="2" fillId="6" borderId="47" xfId="3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protection locked="0"/>
    </xf>
    <xf numFmtId="43" fontId="2" fillId="2" borderId="0" xfId="1" applyNumberFormat="1" applyFont="1" applyFill="1" applyBorder="1" applyProtection="1"/>
    <xf numFmtId="167" fontId="2" fillId="2" borderId="0" xfId="0" applyNumberFormat="1" applyFont="1" applyFill="1" applyBorder="1" applyProtection="1"/>
    <xf numFmtId="3" fontId="2" fillId="2" borderId="101" xfId="0" applyNumberFormat="1" applyFont="1" applyFill="1" applyBorder="1" applyAlignment="1" applyProtection="1">
      <alignment horizontal="right"/>
    </xf>
    <xf numFmtId="3" fontId="2" fillId="2" borderId="104" xfId="0" applyNumberFormat="1" applyFont="1" applyFill="1" applyBorder="1" applyAlignment="1" applyProtection="1">
      <alignment horizontal="right"/>
    </xf>
    <xf numFmtId="0" fontId="43" fillId="2" borderId="4" xfId="0" applyFont="1" applyFill="1" applyBorder="1" applyAlignment="1"/>
    <xf numFmtId="14" fontId="11" fillId="6" borderId="0" xfId="0" applyNumberFormat="1" applyFont="1" applyFill="1" applyAlignment="1"/>
    <xf numFmtId="22" fontId="2" fillId="2" borderId="0" xfId="0" applyNumberFormat="1" applyFont="1" applyFill="1" applyAlignment="1"/>
    <xf numFmtId="0" fontId="2" fillId="10" borderId="12" xfId="0" applyFont="1" applyFill="1" applyBorder="1" applyProtection="1">
      <protection locked="0"/>
    </xf>
    <xf numFmtId="0" fontId="2" fillId="11" borderId="12" xfId="0" applyFont="1" applyFill="1" applyBorder="1" applyAlignment="1" applyProtection="1">
      <alignment horizontal="left"/>
      <protection locked="0"/>
    </xf>
    <xf numFmtId="0" fontId="2" fillId="11" borderId="12" xfId="0" applyFont="1" applyFill="1" applyBorder="1" applyProtection="1">
      <protection locked="0"/>
    </xf>
    <xf numFmtId="164" fontId="2" fillId="11" borderId="12" xfId="1" applyNumberFormat="1" applyFont="1" applyFill="1" applyBorder="1" applyProtection="1">
      <protection locked="0"/>
    </xf>
    <xf numFmtId="10" fontId="2" fillId="11" borderId="1" xfId="3" applyNumberFormat="1" applyFont="1" applyFill="1" applyBorder="1" applyProtection="1">
      <protection locked="0"/>
    </xf>
    <xf numFmtId="10" fontId="2" fillId="11" borderId="23" xfId="3" applyNumberFormat="1" applyFont="1" applyFill="1" applyBorder="1" applyProtection="1">
      <protection locked="0"/>
    </xf>
    <xf numFmtId="10" fontId="2" fillId="11" borderId="2" xfId="3" applyNumberFormat="1" applyFont="1" applyFill="1" applyBorder="1" applyProtection="1">
      <protection locked="0"/>
    </xf>
    <xf numFmtId="10" fontId="2" fillId="11" borderId="0" xfId="3" applyNumberFormat="1" applyFont="1" applyFill="1" applyBorder="1" applyProtection="1">
      <protection locked="0"/>
    </xf>
    <xf numFmtId="10" fontId="2" fillId="11" borderId="15" xfId="3" applyNumberFormat="1" applyFont="1" applyFill="1" applyBorder="1" applyProtection="1">
      <protection locked="0"/>
    </xf>
    <xf numFmtId="10" fontId="2" fillId="11" borderId="4" xfId="3" applyNumberFormat="1" applyFont="1" applyFill="1" applyBorder="1" applyProtection="1">
      <protection locked="0"/>
    </xf>
    <xf numFmtId="10" fontId="2" fillId="11" borderId="5" xfId="3" applyNumberFormat="1" applyFont="1" applyFill="1" applyBorder="1" applyProtection="1">
      <protection locked="0"/>
    </xf>
    <xf numFmtId="10" fontId="2" fillId="11" borderId="17" xfId="3" applyNumberFormat="1" applyFont="1" applyFill="1" applyBorder="1" applyProtection="1">
      <protection locked="0"/>
    </xf>
    <xf numFmtId="10" fontId="2" fillId="11" borderId="6" xfId="3" applyNumberFormat="1" applyFont="1" applyFill="1" applyBorder="1" applyProtection="1">
      <protection locked="0"/>
    </xf>
    <xf numFmtId="10" fontId="2" fillId="11" borderId="47" xfId="3" applyNumberFormat="1" applyFont="1" applyFill="1" applyBorder="1" applyProtection="1">
      <protection locked="0"/>
    </xf>
    <xf numFmtId="10" fontId="2" fillId="11" borderId="46" xfId="3" applyNumberFormat="1" applyFont="1" applyFill="1" applyBorder="1" applyProtection="1">
      <protection locked="0"/>
    </xf>
    <xf numFmtId="10" fontId="2" fillId="11" borderId="35" xfId="3" applyNumberFormat="1" applyFont="1" applyFill="1" applyBorder="1" applyProtection="1">
      <protection locked="0"/>
    </xf>
    <xf numFmtId="10" fontId="2" fillId="11" borderId="45" xfId="3" applyNumberFormat="1" applyFont="1" applyFill="1" applyBorder="1" applyProtection="1">
      <protection locked="0"/>
    </xf>
    <xf numFmtId="2" fontId="2" fillId="11" borderId="44" xfId="0" applyNumberFormat="1" applyFont="1" applyFill="1" applyBorder="1" applyProtection="1">
      <protection locked="0"/>
    </xf>
    <xf numFmtId="2" fontId="2" fillId="11" borderId="47" xfId="0" applyNumberFormat="1" applyFont="1" applyFill="1" applyBorder="1" applyProtection="1">
      <protection locked="0"/>
    </xf>
    <xf numFmtId="2" fontId="2" fillId="11" borderId="46" xfId="1" applyNumberFormat="1" applyFont="1" applyFill="1" applyBorder="1" applyProtection="1">
      <protection locked="0"/>
    </xf>
    <xf numFmtId="2" fontId="2" fillId="11" borderId="35" xfId="1" applyNumberFormat="1" applyFont="1" applyFill="1" applyBorder="1" applyProtection="1">
      <protection locked="0"/>
    </xf>
    <xf numFmtId="2" fontId="2" fillId="11" borderId="45" xfId="1" applyNumberFormat="1" applyFont="1" applyFill="1" applyBorder="1" applyProtection="1">
      <protection locked="0"/>
    </xf>
    <xf numFmtId="10" fontId="2" fillId="11" borderId="7" xfId="3" applyNumberFormat="1" applyFont="1" applyFill="1" applyBorder="1" applyProtection="1">
      <protection locked="0"/>
    </xf>
    <xf numFmtId="10" fontId="2" fillId="11" borderId="28" xfId="3" applyNumberFormat="1" applyFont="1" applyFill="1" applyBorder="1" applyProtection="1">
      <protection locked="0"/>
    </xf>
    <xf numFmtId="164" fontId="2" fillId="11" borderId="10" xfId="1" applyNumberFormat="1" applyFont="1" applyFill="1" applyBorder="1" applyProtection="1">
      <protection locked="0"/>
    </xf>
    <xf numFmtId="164" fontId="2" fillId="11" borderId="28" xfId="1" applyNumberFormat="1" applyFont="1" applyFill="1" applyBorder="1" applyProtection="1">
      <protection locked="0"/>
    </xf>
    <xf numFmtId="164" fontId="2" fillId="11" borderId="1" xfId="1" applyNumberFormat="1" applyFont="1" applyFill="1" applyBorder="1" applyProtection="1">
      <protection locked="0"/>
    </xf>
    <xf numFmtId="164" fontId="2" fillId="11" borderId="23" xfId="1" applyNumberFormat="1" applyFont="1" applyFill="1" applyBorder="1" applyProtection="1">
      <protection locked="0"/>
    </xf>
    <xf numFmtId="164" fontId="2" fillId="11" borderId="2" xfId="1" applyNumberFormat="1" applyFont="1" applyFill="1" applyBorder="1" applyProtection="1">
      <protection locked="0"/>
    </xf>
    <xf numFmtId="164" fontId="2" fillId="11" borderId="3" xfId="1" applyNumberFormat="1" applyFont="1" applyFill="1" applyBorder="1" applyProtection="1">
      <protection locked="0"/>
    </xf>
    <xf numFmtId="164" fontId="2" fillId="11" borderId="18" xfId="1" applyNumberFormat="1" applyFont="1" applyFill="1" applyBorder="1" applyProtection="1">
      <protection locked="0"/>
    </xf>
    <xf numFmtId="164" fontId="2" fillId="11" borderId="0" xfId="1" applyNumberFormat="1" applyFont="1" applyFill="1" applyBorder="1" applyProtection="1">
      <protection locked="0"/>
    </xf>
    <xf numFmtId="164" fontId="2" fillId="11" borderId="15" xfId="1" applyNumberFormat="1" applyFont="1" applyFill="1" applyBorder="1" applyProtection="1">
      <protection locked="0"/>
    </xf>
    <xf numFmtId="164" fontId="2" fillId="11" borderId="4" xfId="1" applyNumberFormat="1" applyFont="1" applyFill="1" applyBorder="1" applyProtection="1">
      <protection locked="0"/>
    </xf>
    <xf numFmtId="164" fontId="2" fillId="11" borderId="9" xfId="1" applyNumberFormat="1" applyFont="1" applyFill="1" applyBorder="1" applyProtection="1">
      <protection locked="0"/>
    </xf>
    <xf numFmtId="164" fontId="2" fillId="11" borderId="21" xfId="1" applyNumberFormat="1" applyFont="1" applyFill="1" applyBorder="1" applyProtection="1">
      <protection locked="0"/>
    </xf>
    <xf numFmtId="164" fontId="2" fillId="11" borderId="5" xfId="1" applyNumberFormat="1" applyFont="1" applyFill="1" applyBorder="1" applyProtection="1">
      <protection locked="0"/>
    </xf>
    <xf numFmtId="164" fontId="2" fillId="11" borderId="17" xfId="1" applyNumberFormat="1" applyFont="1" applyFill="1" applyBorder="1" applyProtection="1">
      <protection locked="0"/>
    </xf>
    <xf numFmtId="164" fontId="2" fillId="11" borderId="6" xfId="1" applyNumberFormat="1" applyFont="1" applyFill="1" applyBorder="1" applyProtection="1">
      <protection locked="0"/>
    </xf>
    <xf numFmtId="164" fontId="6" fillId="11" borderId="13" xfId="1" applyNumberFormat="1" applyFont="1" applyFill="1" applyBorder="1" applyAlignment="1" applyProtection="1">
      <protection locked="0"/>
    </xf>
    <xf numFmtId="164" fontId="9" fillId="11" borderId="13" xfId="1" applyNumberFormat="1" applyFont="1" applyFill="1" applyBorder="1" applyAlignment="1" applyProtection="1">
      <protection locked="0"/>
    </xf>
    <xf numFmtId="164" fontId="6" fillId="11" borderId="11" xfId="1" applyNumberFormat="1" applyFont="1" applyFill="1" applyBorder="1" applyAlignment="1" applyProtection="1">
      <protection locked="0"/>
    </xf>
    <xf numFmtId="164" fontId="6" fillId="11" borderId="14" xfId="1" applyNumberFormat="1" applyFont="1" applyFill="1" applyBorder="1" applyAlignment="1" applyProtection="1">
      <protection locked="0"/>
    </xf>
    <xf numFmtId="3" fontId="6" fillId="11" borderId="12" xfId="1" applyNumberFormat="1" applyFont="1" applyFill="1" applyBorder="1" applyProtection="1">
      <protection locked="0"/>
    </xf>
    <xf numFmtId="3" fontId="6" fillId="11" borderId="11" xfId="1" applyNumberFormat="1" applyFont="1" applyFill="1" applyBorder="1" applyProtection="1">
      <protection locked="0"/>
    </xf>
    <xf numFmtId="3" fontId="6" fillId="11" borderId="14" xfId="1" applyNumberFormat="1" applyFont="1" applyFill="1" applyBorder="1" applyProtection="1">
      <protection locked="0"/>
    </xf>
    <xf numFmtId="0" fontId="50" fillId="12" borderId="4" xfId="0" applyFont="1" applyFill="1" applyBorder="1" applyProtection="1"/>
    <xf numFmtId="3" fontId="5" fillId="11" borderId="11" xfId="1" applyNumberFormat="1" applyFont="1" applyFill="1" applyBorder="1" applyProtection="1">
      <protection locked="0"/>
    </xf>
    <xf numFmtId="3" fontId="5" fillId="11" borderId="13" xfId="1" applyNumberFormat="1" applyFont="1" applyFill="1" applyBorder="1" applyProtection="1">
      <protection locked="0"/>
    </xf>
    <xf numFmtId="3" fontId="43" fillId="11" borderId="13" xfId="1" applyNumberFormat="1" applyFont="1" applyFill="1" applyBorder="1" applyProtection="1">
      <protection locked="0"/>
    </xf>
    <xf numFmtId="3" fontId="43" fillId="11" borderId="14" xfId="1" applyNumberFormat="1" applyFont="1" applyFill="1" applyBorder="1" applyProtection="1">
      <protection locked="0"/>
    </xf>
    <xf numFmtId="3" fontId="5" fillId="11" borderId="10" xfId="1" applyNumberFormat="1" applyFont="1" applyFill="1" applyBorder="1" applyProtection="1">
      <protection locked="0"/>
    </xf>
    <xf numFmtId="3" fontId="5" fillId="11" borderId="3" xfId="1" applyNumberFormat="1" applyFont="1" applyFill="1" applyBorder="1" applyProtection="1">
      <protection locked="0"/>
    </xf>
    <xf numFmtId="3" fontId="43" fillId="11" borderId="3" xfId="1" applyNumberFormat="1" applyFont="1" applyFill="1" applyBorder="1" applyProtection="1">
      <protection locked="0"/>
    </xf>
    <xf numFmtId="3" fontId="43" fillId="11" borderId="9" xfId="1" applyNumberFormat="1" applyFont="1" applyFill="1" applyBorder="1" applyProtection="1">
      <protection locked="0"/>
    </xf>
    <xf numFmtId="3" fontId="6" fillId="11" borderId="13" xfId="1" applyNumberFormat="1" applyFont="1" applyFill="1" applyBorder="1" applyProtection="1">
      <protection locked="0"/>
    </xf>
    <xf numFmtId="3" fontId="6" fillId="11" borderId="3" xfId="1" applyNumberFormat="1" applyFont="1" applyFill="1" applyBorder="1" applyProtection="1">
      <protection locked="0"/>
    </xf>
    <xf numFmtId="3" fontId="37" fillId="11" borderId="3" xfId="1" applyNumberFormat="1" applyFont="1" applyFill="1" applyBorder="1" applyProtection="1">
      <protection locked="0"/>
    </xf>
    <xf numFmtId="3" fontId="32" fillId="12" borderId="0" xfId="0" applyNumberFormat="1" applyFont="1" applyFill="1" applyAlignment="1" applyProtection="1"/>
    <xf numFmtId="3" fontId="32" fillId="12" borderId="0" xfId="0" applyNumberFormat="1" applyFont="1" applyFill="1" applyAlignment="1"/>
    <xf numFmtId="0" fontId="7" fillId="12" borderId="9" xfId="0" applyFont="1" applyFill="1" applyBorder="1" applyAlignment="1">
      <alignment horizontal="left"/>
    </xf>
    <xf numFmtId="3" fontId="44" fillId="12" borderId="0" xfId="0" applyNumberFormat="1" applyFont="1" applyFill="1" applyAlignment="1" applyProtection="1"/>
    <xf numFmtId="3" fontId="32" fillId="12" borderId="13" xfId="0" applyNumberFormat="1" applyFont="1" applyFill="1" applyBorder="1" applyAlignment="1" applyProtection="1"/>
    <xf numFmtId="3" fontId="2" fillId="12" borderId="0" xfId="0" applyNumberFormat="1" applyFont="1" applyFill="1" applyAlignment="1" applyProtection="1"/>
    <xf numFmtId="3" fontId="46" fillId="11" borderId="3" xfId="1" applyNumberFormat="1" applyFont="1" applyFill="1" applyBorder="1" applyProtection="1">
      <protection locked="0"/>
    </xf>
    <xf numFmtId="164" fontId="2" fillId="2" borderId="0" xfId="0" applyNumberFormat="1" applyFont="1" applyFill="1"/>
    <xf numFmtId="0" fontId="2" fillId="11" borderId="8" xfId="0" applyFont="1" applyFill="1" applyBorder="1" applyAlignment="1" applyProtection="1">
      <alignment wrapText="1"/>
      <protection locked="0"/>
    </xf>
    <xf numFmtId="0" fontId="2" fillId="11" borderId="15" xfId="0" applyFont="1" applyFill="1" applyBorder="1" applyAlignment="1" applyProtection="1">
      <protection locked="0"/>
    </xf>
    <xf numFmtId="0" fontId="2" fillId="11" borderId="68" xfId="0" applyFont="1" applyFill="1" applyBorder="1" applyAlignment="1" applyProtection="1">
      <alignment wrapText="1"/>
      <protection locked="0"/>
    </xf>
    <xf numFmtId="3" fontId="2" fillId="11" borderId="55" xfId="0" applyNumberFormat="1" applyFont="1" applyFill="1" applyBorder="1" applyAlignment="1" applyProtection="1">
      <alignment wrapText="1"/>
      <protection locked="0"/>
    </xf>
    <xf numFmtId="3" fontId="2" fillId="11" borderId="56" xfId="0" applyNumberFormat="1" applyFont="1" applyFill="1" applyBorder="1" applyAlignment="1" applyProtection="1">
      <alignment horizontal="right" wrapText="1"/>
      <protection locked="0"/>
    </xf>
    <xf numFmtId="3" fontId="2" fillId="11" borderId="57" xfId="0" applyNumberFormat="1" applyFont="1" applyFill="1" applyBorder="1" applyAlignment="1" applyProtection="1">
      <alignment horizontal="right" wrapText="1"/>
      <protection locked="0"/>
    </xf>
    <xf numFmtId="3" fontId="2" fillId="11" borderId="55" xfId="0" applyNumberFormat="1" applyFont="1" applyFill="1" applyBorder="1" applyAlignment="1" applyProtection="1">
      <alignment horizontal="right" wrapText="1"/>
      <protection locked="0"/>
    </xf>
    <xf numFmtId="0" fontId="2" fillId="11" borderId="69" xfId="0" applyFont="1" applyFill="1" applyBorder="1" applyAlignment="1" applyProtection="1">
      <alignment wrapText="1"/>
      <protection locked="0"/>
    </xf>
    <xf numFmtId="3" fontId="2" fillId="11" borderId="58" xfId="0" applyNumberFormat="1" applyFont="1" applyFill="1" applyBorder="1" applyAlignment="1" applyProtection="1">
      <alignment horizontal="right" wrapText="1"/>
      <protection locked="0"/>
    </xf>
    <xf numFmtId="3" fontId="2" fillId="11" borderId="59" xfId="0" applyNumberFormat="1" applyFont="1" applyFill="1" applyBorder="1" applyAlignment="1" applyProtection="1">
      <alignment horizontal="right" wrapText="1"/>
      <protection locked="0"/>
    </xf>
    <xf numFmtId="3" fontId="2" fillId="11" borderId="60" xfId="0" applyNumberFormat="1" applyFont="1" applyFill="1" applyBorder="1" applyAlignment="1" applyProtection="1">
      <alignment horizontal="right" wrapText="1"/>
      <protection locked="0"/>
    </xf>
    <xf numFmtId="3" fontId="2" fillId="11" borderId="56" xfId="0" applyNumberFormat="1" applyFont="1" applyFill="1" applyBorder="1" applyAlignment="1" applyProtection="1">
      <alignment wrapText="1"/>
      <protection locked="0"/>
    </xf>
    <xf numFmtId="3" fontId="2" fillId="11" borderId="57" xfId="0" applyNumberFormat="1" applyFont="1" applyFill="1" applyBorder="1" applyAlignment="1" applyProtection="1">
      <alignment wrapText="1"/>
      <protection locked="0"/>
    </xf>
    <xf numFmtId="0" fontId="5" fillId="2" borderId="13" xfId="0" applyFont="1" applyFill="1" applyBorder="1" applyProtection="1"/>
    <xf numFmtId="0" fontId="5" fillId="6" borderId="13" xfId="0" applyFont="1" applyFill="1" applyBorder="1" applyProtection="1"/>
    <xf numFmtId="0" fontId="2" fillId="11" borderId="13" xfId="0" applyFont="1" applyFill="1" applyBorder="1" applyAlignment="1" applyProtection="1">
      <alignment wrapText="1"/>
      <protection locked="0"/>
    </xf>
    <xf numFmtId="0" fontId="37" fillId="11" borderId="8" xfId="0" applyFont="1" applyFill="1" applyBorder="1" applyAlignment="1" applyProtection="1">
      <alignment wrapText="1"/>
      <protection locked="0"/>
    </xf>
    <xf numFmtId="0" fontId="37" fillId="11" borderId="78" xfId="0" applyFont="1" applyFill="1" applyBorder="1" applyAlignment="1" applyProtection="1">
      <alignment horizontal="center" wrapText="1"/>
      <protection locked="0"/>
    </xf>
    <xf numFmtId="0" fontId="14" fillId="11" borderId="69" xfId="0" applyFont="1" applyFill="1" applyBorder="1" applyAlignment="1" applyProtection="1">
      <alignment wrapText="1"/>
      <protection locked="0"/>
    </xf>
    <xf numFmtId="0" fontId="14" fillId="11" borderId="68" xfId="0" applyFont="1" applyFill="1" applyBorder="1" applyAlignment="1" applyProtection="1">
      <alignment wrapText="1"/>
      <protection locked="0"/>
    </xf>
    <xf numFmtId="0" fontId="14" fillId="11" borderId="61" xfId="0" applyNumberFormat="1" applyFont="1" applyFill="1" applyBorder="1" applyAlignment="1" applyProtection="1">
      <alignment horizontal="center" wrapText="1"/>
      <protection locked="0"/>
    </xf>
    <xf numFmtId="3" fontId="14" fillId="11" borderId="61" xfId="0" applyNumberFormat="1" applyFont="1" applyFill="1" applyBorder="1" applyAlignment="1" applyProtection="1">
      <alignment horizontal="right" wrapText="1"/>
      <protection locked="0"/>
    </xf>
    <xf numFmtId="3" fontId="14" fillId="11" borderId="62" xfId="0" applyNumberFormat="1" applyFont="1" applyFill="1" applyBorder="1" applyAlignment="1" applyProtection="1">
      <alignment wrapText="1"/>
      <protection locked="0"/>
    </xf>
    <xf numFmtId="3" fontId="14" fillId="11" borderId="56" xfId="0" applyNumberFormat="1" applyFont="1" applyFill="1" applyBorder="1" applyAlignment="1" applyProtection="1">
      <alignment horizontal="right" wrapText="1"/>
      <protection locked="0"/>
    </xf>
    <xf numFmtId="3" fontId="48" fillId="11" borderId="56" xfId="0" applyNumberFormat="1" applyFont="1" applyFill="1" applyBorder="1" applyAlignment="1" applyProtection="1">
      <alignment horizontal="right" wrapText="1"/>
      <protection locked="0"/>
    </xf>
    <xf numFmtId="3" fontId="14" fillId="11" borderId="57" xfId="0" applyNumberFormat="1" applyFont="1" applyFill="1" applyBorder="1" applyAlignment="1" applyProtection="1">
      <alignment horizontal="right" wrapText="1"/>
      <protection locked="0"/>
    </xf>
    <xf numFmtId="3" fontId="14" fillId="11" borderId="97" xfId="0" applyNumberFormat="1" applyFont="1" applyFill="1" applyBorder="1" applyAlignment="1" applyProtection="1">
      <alignment horizontal="right" wrapText="1"/>
      <protection locked="0"/>
    </xf>
    <xf numFmtId="3" fontId="14" fillId="11" borderId="96" xfId="0" applyNumberFormat="1" applyFont="1" applyFill="1" applyBorder="1" applyAlignment="1" applyProtection="1">
      <alignment horizontal="right" wrapText="1"/>
      <protection locked="0"/>
    </xf>
    <xf numFmtId="3" fontId="14" fillId="11" borderId="63" xfId="0" applyNumberFormat="1" applyFont="1" applyFill="1" applyBorder="1" applyAlignment="1" applyProtection="1">
      <alignment wrapText="1"/>
      <protection locked="0"/>
    </xf>
    <xf numFmtId="3" fontId="14" fillId="11" borderId="59" xfId="0" applyNumberFormat="1" applyFont="1" applyFill="1" applyBorder="1" applyAlignment="1" applyProtection="1">
      <alignment horizontal="right" wrapText="1"/>
      <protection locked="0"/>
    </xf>
    <xf numFmtId="3" fontId="14" fillId="11" borderId="60" xfId="0" applyNumberFormat="1" applyFont="1" applyFill="1" applyBorder="1" applyAlignment="1" applyProtection="1">
      <alignment horizontal="right" wrapText="1"/>
      <protection locked="0"/>
    </xf>
    <xf numFmtId="3" fontId="14" fillId="11" borderId="98" xfId="0" applyNumberFormat="1" applyFont="1" applyFill="1" applyBorder="1" applyAlignment="1" applyProtection="1">
      <alignment horizontal="right" wrapText="1"/>
      <protection locked="0"/>
    </xf>
    <xf numFmtId="3" fontId="36" fillId="13" borderId="76" xfId="0" applyNumberFormat="1" applyFont="1" applyFill="1" applyBorder="1" applyAlignment="1" applyProtection="1">
      <alignment wrapText="1"/>
      <protection locked="0"/>
    </xf>
    <xf numFmtId="3" fontId="36" fillId="13" borderId="100" xfId="0" applyNumberFormat="1" applyFont="1" applyFill="1" applyBorder="1" applyAlignment="1" applyProtection="1">
      <alignment wrapText="1"/>
      <protection locked="0"/>
    </xf>
    <xf numFmtId="0" fontId="13" fillId="6" borderId="0" xfId="0" applyFont="1" applyFill="1" applyProtection="1"/>
    <xf numFmtId="0" fontId="7" fillId="6" borderId="0" xfId="0" applyFont="1" applyFill="1" applyProtection="1"/>
    <xf numFmtId="0" fontId="7" fillId="6" borderId="0" xfId="0" applyFont="1" applyFill="1" applyBorder="1" applyProtection="1"/>
    <xf numFmtId="0" fontId="14" fillId="6" borderId="0" xfId="0" applyFont="1" applyFill="1" applyAlignment="1" applyProtection="1">
      <alignment wrapText="1"/>
    </xf>
    <xf numFmtId="0" fontId="49" fillId="6" borderId="0" xfId="0" applyFont="1" applyFill="1" applyAlignment="1" applyProtection="1">
      <alignment wrapText="1"/>
    </xf>
    <xf numFmtId="0" fontId="5" fillId="6" borderId="0" xfId="0" applyFont="1" applyFill="1" applyAlignment="1" applyProtection="1">
      <alignment wrapText="1"/>
    </xf>
    <xf numFmtId="0" fontId="7" fillId="6" borderId="0" xfId="0" applyFont="1" applyFill="1" applyAlignment="1" applyProtection="1">
      <alignment wrapText="1"/>
    </xf>
    <xf numFmtId="0" fontId="35" fillId="6" borderId="0" xfId="0" applyFont="1" applyFill="1" applyAlignment="1" applyProtection="1">
      <alignment wrapText="1"/>
    </xf>
    <xf numFmtId="0" fontId="13" fillId="6" borderId="0" xfId="0" applyFont="1" applyFill="1" applyAlignment="1" applyProtection="1">
      <alignment horizontal="right"/>
    </xf>
    <xf numFmtId="0" fontId="28" fillId="6" borderId="0" xfId="0" applyFont="1" applyFill="1" applyBorder="1" applyProtection="1"/>
    <xf numFmtId="0" fontId="28" fillId="6" borderId="3" xfId="0" applyFont="1" applyFill="1" applyBorder="1" applyProtection="1"/>
    <xf numFmtId="0" fontId="28" fillId="6" borderId="0" xfId="0" applyFont="1" applyFill="1" applyBorder="1" applyAlignment="1" applyProtection="1">
      <alignment wrapText="1"/>
    </xf>
    <xf numFmtId="0" fontId="29" fillId="6" borderId="0" xfId="0" applyFont="1" applyFill="1" applyBorder="1" applyAlignment="1" applyProtection="1">
      <alignment wrapText="1"/>
    </xf>
    <xf numFmtId="0" fontId="9" fillId="6" borderId="0" xfId="0" applyFont="1" applyFill="1" applyProtection="1"/>
    <xf numFmtId="0" fontId="14" fillId="6" borderId="0" xfId="0" applyFont="1" applyFill="1" applyBorder="1" applyAlignment="1" applyProtection="1">
      <alignment wrapText="1"/>
    </xf>
    <xf numFmtId="0" fontId="49" fillId="6" borderId="0" xfId="0" applyFont="1" applyFill="1" applyBorder="1" applyAlignment="1" applyProtection="1">
      <alignment wrapText="1"/>
    </xf>
    <xf numFmtId="0" fontId="5" fillId="6" borderId="0" xfId="0" applyFont="1" applyFill="1" applyBorder="1" applyAlignment="1" applyProtection="1">
      <alignment wrapText="1"/>
    </xf>
    <xf numFmtId="0" fontId="7" fillId="6" borderId="0" xfId="0" applyFont="1" applyFill="1" applyBorder="1" applyAlignment="1" applyProtection="1">
      <alignment wrapText="1"/>
    </xf>
    <xf numFmtId="0" fontId="56" fillId="2" borderId="0" xfId="0" applyFont="1" applyFill="1" applyProtection="1"/>
    <xf numFmtId="0" fontId="56" fillId="2" borderId="0" xfId="0" applyFont="1" applyFill="1" applyBorder="1" applyProtection="1"/>
    <xf numFmtId="0" fontId="35" fillId="2" borderId="0" xfId="0" applyFont="1" applyFill="1" applyBorder="1" applyProtection="1"/>
    <xf numFmtId="0" fontId="32" fillId="2" borderId="0" xfId="0" applyFont="1" applyFill="1" applyBorder="1" applyAlignment="1" applyProtection="1">
      <alignment wrapText="1"/>
    </xf>
    <xf numFmtId="0" fontId="32" fillId="12" borderId="0" xfId="0" applyFont="1" applyFill="1"/>
    <xf numFmtId="3" fontId="43" fillId="6" borderId="74" xfId="1" applyNumberFormat="1" applyFont="1" applyFill="1" applyBorder="1" applyProtection="1"/>
    <xf numFmtId="3" fontId="43" fillId="6" borderId="9" xfId="1" applyNumberFormat="1" applyFont="1" applyFill="1" applyBorder="1" applyProtection="1"/>
    <xf numFmtId="164" fontId="0" fillId="0" borderId="2" xfId="0" applyNumberFormat="1" applyBorder="1" applyAlignment="1"/>
    <xf numFmtId="164" fontId="2" fillId="2" borderId="0" xfId="0" applyNumberFormat="1" applyFont="1" applyFill="1" applyAlignment="1" applyProtection="1"/>
    <xf numFmtId="3" fontId="2" fillId="2" borderId="74" xfId="0" applyNumberFormat="1" applyFont="1" applyFill="1" applyBorder="1" applyAlignment="1" applyProtection="1"/>
    <xf numFmtId="3" fontId="2" fillId="2" borderId="17" xfId="0" applyNumberFormat="1" applyFont="1" applyFill="1" applyBorder="1" applyAlignment="1" applyProtection="1"/>
    <xf numFmtId="3" fontId="2" fillId="2" borderId="21" xfId="0" applyNumberFormat="1" applyFont="1" applyFill="1" applyBorder="1" applyAlignment="1" applyProtection="1"/>
    <xf numFmtId="0" fontId="5" fillId="6" borderId="0" xfId="0" applyFont="1" applyFill="1" applyBorder="1" applyAlignment="1" applyProtection="1"/>
    <xf numFmtId="0" fontId="5" fillId="6" borderId="4" xfId="0" applyFont="1" applyFill="1" applyBorder="1" applyAlignment="1" applyProtection="1"/>
    <xf numFmtId="0" fontId="2" fillId="2" borderId="0" xfId="0" applyFont="1" applyFill="1" applyBorder="1" applyAlignment="1" applyProtection="1"/>
    <xf numFmtId="3" fontId="5" fillId="5" borderId="0" xfId="0" applyNumberFormat="1" applyFont="1" applyFill="1" applyBorder="1" applyProtection="1"/>
    <xf numFmtId="3" fontId="9" fillId="2" borderId="0" xfId="0" applyNumberFormat="1" applyFont="1" applyFill="1" applyProtection="1"/>
    <xf numFmtId="164" fontId="2" fillId="11" borderId="13" xfId="1" applyNumberFormat="1" applyFont="1" applyFill="1" applyBorder="1" applyProtection="1">
      <protection locked="0"/>
    </xf>
    <xf numFmtId="164" fontId="2" fillId="11" borderId="20" xfId="1" applyNumberFormat="1" applyFont="1" applyFill="1" applyBorder="1" applyProtection="1">
      <protection locked="0"/>
    </xf>
    <xf numFmtId="10" fontId="2" fillId="11" borderId="13" xfId="3" applyNumberFormat="1" applyFont="1" applyFill="1" applyBorder="1" applyProtection="1">
      <protection locked="0"/>
    </xf>
    <xf numFmtId="164" fontId="9" fillId="11" borderId="13" xfId="1" applyNumberFormat="1" applyFont="1" applyFill="1" applyBorder="1" applyProtection="1">
      <protection locked="0"/>
    </xf>
    <xf numFmtId="164" fontId="9" fillId="11" borderId="20" xfId="1" applyNumberFormat="1" applyFont="1" applyFill="1" applyBorder="1" applyProtection="1">
      <protection locked="0"/>
    </xf>
    <xf numFmtId="164" fontId="9" fillId="11" borderId="15" xfId="1" applyNumberFormat="1" applyFont="1" applyFill="1" applyBorder="1" applyProtection="1">
      <protection locked="0"/>
    </xf>
    <xf numFmtId="10" fontId="9" fillId="11" borderId="13" xfId="3" applyNumberFormat="1" applyFont="1" applyFill="1" applyBorder="1" applyProtection="1">
      <protection locked="0"/>
    </xf>
    <xf numFmtId="3" fontId="5" fillId="11" borderId="0" xfId="1" applyNumberFormat="1" applyFont="1" applyFill="1" applyBorder="1" applyProtection="1">
      <protection locked="0"/>
    </xf>
    <xf numFmtId="3" fontId="43" fillId="11" borderId="0" xfId="1" applyNumberFormat="1" applyFont="1" applyFill="1" applyBorder="1" applyProtection="1">
      <protection locked="0"/>
    </xf>
    <xf numFmtId="0" fontId="2" fillId="12" borderId="0" xfId="0" applyFont="1" applyFill="1" applyBorder="1" applyProtection="1"/>
    <xf numFmtId="0" fontId="32" fillId="12" borderId="0" xfId="0" applyFont="1" applyFill="1" applyBorder="1" applyProtection="1"/>
    <xf numFmtId="3" fontId="2" fillId="11" borderId="84" xfId="0" applyNumberFormat="1" applyFont="1" applyFill="1" applyBorder="1" applyAlignment="1" applyProtection="1">
      <alignment horizontal="right"/>
      <protection locked="0"/>
    </xf>
    <xf numFmtId="3" fontId="2" fillId="11" borderId="85" xfId="0" applyNumberFormat="1" applyFont="1" applyFill="1" applyBorder="1" applyAlignment="1" applyProtection="1">
      <alignment horizontal="right"/>
      <protection locked="0"/>
    </xf>
    <xf numFmtId="3" fontId="2" fillId="11" borderId="8" xfId="0" applyNumberFormat="1" applyFont="1" applyFill="1" applyBorder="1" applyAlignment="1" applyProtection="1">
      <alignment horizontal="right"/>
      <protection locked="0"/>
    </xf>
    <xf numFmtId="3" fontId="2" fillId="11" borderId="42" xfId="0" applyNumberFormat="1" applyFont="1" applyFill="1" applyBorder="1" applyAlignment="1" applyProtection="1">
      <alignment horizontal="right"/>
      <protection locked="0"/>
    </xf>
    <xf numFmtId="3" fontId="2" fillId="11" borderId="37" xfId="0" applyNumberFormat="1" applyFont="1" applyFill="1" applyBorder="1" applyAlignment="1" applyProtection="1">
      <alignment horizontal="right"/>
      <protection locked="0"/>
    </xf>
    <xf numFmtId="3" fontId="2" fillId="11" borderId="88" xfId="0" applyNumberFormat="1" applyFont="1" applyFill="1" applyBorder="1" applyAlignment="1" applyProtection="1">
      <alignment horizontal="right"/>
      <protection locked="0"/>
    </xf>
    <xf numFmtId="0" fontId="2" fillId="11" borderId="30" xfId="0" applyFont="1" applyFill="1" applyBorder="1" applyProtection="1">
      <protection locked="0"/>
    </xf>
    <xf numFmtId="0" fontId="2" fillId="11" borderId="101" xfId="0" applyFont="1" applyFill="1" applyBorder="1" applyAlignment="1" applyProtection="1">
      <alignment horizontal="center"/>
      <protection locked="0"/>
    </xf>
    <xf numFmtId="0" fontId="2" fillId="11" borderId="0" xfId="0" applyFont="1" applyFill="1" applyBorder="1" applyProtection="1">
      <protection locked="0"/>
    </xf>
    <xf numFmtId="0" fontId="2" fillId="11" borderId="3" xfId="0" applyFont="1" applyFill="1" applyBorder="1" applyAlignment="1" applyProtection="1">
      <alignment horizontal="center"/>
      <protection locked="0"/>
    </xf>
    <xf numFmtId="0" fontId="2" fillId="11" borderId="67" xfId="0" applyFont="1" applyFill="1" applyBorder="1" applyProtection="1">
      <protection locked="0"/>
    </xf>
    <xf numFmtId="0" fontId="2" fillId="11" borderId="67" xfId="0" applyFont="1" applyFill="1" applyBorder="1" applyAlignment="1" applyProtection="1">
      <alignment horizontal="center"/>
      <protection locked="0"/>
    </xf>
    <xf numFmtId="0" fontId="2" fillId="11" borderId="90" xfId="0" applyFont="1" applyFill="1" applyBorder="1" applyAlignment="1" applyProtection="1">
      <alignment horizontal="center"/>
      <protection locked="0"/>
    </xf>
    <xf numFmtId="3" fontId="2" fillId="11" borderId="103" xfId="0" applyNumberFormat="1" applyFont="1" applyFill="1" applyBorder="1" applyAlignment="1" applyProtection="1">
      <alignment horizontal="right"/>
      <protection locked="0"/>
    </xf>
    <xf numFmtId="3" fontId="2" fillId="11" borderId="86" xfId="0" applyNumberFormat="1" applyFont="1" applyFill="1" applyBorder="1" applyAlignment="1" applyProtection="1">
      <alignment horizontal="right"/>
      <protection locked="0"/>
    </xf>
    <xf numFmtId="3" fontId="2" fillId="11" borderId="31" xfId="0" applyNumberFormat="1" applyFont="1" applyFill="1" applyBorder="1" applyAlignment="1" applyProtection="1">
      <alignment horizontal="right"/>
      <protection locked="0"/>
    </xf>
    <xf numFmtId="3" fontId="2" fillId="11" borderId="32" xfId="0" applyNumberFormat="1" applyFont="1" applyFill="1" applyBorder="1" applyAlignment="1" applyProtection="1">
      <alignment horizontal="right"/>
      <protection locked="0"/>
    </xf>
    <xf numFmtId="3" fontId="2" fillId="11" borderId="66" xfId="0" applyNumberFormat="1" applyFont="1" applyFill="1" applyBorder="1" applyAlignment="1" applyProtection="1">
      <alignment horizontal="right"/>
      <protection locked="0"/>
    </xf>
    <xf numFmtId="3" fontId="2" fillId="11" borderId="20" xfId="0" applyNumberFormat="1" applyFont="1" applyFill="1" applyBorder="1" applyAlignment="1" applyProtection="1">
      <alignment horizontal="right"/>
      <protection locked="0"/>
    </xf>
    <xf numFmtId="3" fontId="2" fillId="11" borderId="15" xfId="0" applyNumberFormat="1" applyFont="1" applyFill="1" applyBorder="1" applyAlignment="1" applyProtection="1">
      <alignment horizontal="right"/>
      <protection locked="0"/>
    </xf>
    <xf numFmtId="3" fontId="2" fillId="11" borderId="18" xfId="0" applyNumberFormat="1" applyFont="1" applyFill="1" applyBorder="1" applyAlignment="1" applyProtection="1">
      <alignment horizontal="right"/>
      <protection locked="0"/>
    </xf>
    <xf numFmtId="3" fontId="2" fillId="11" borderId="91" xfId="0" applyNumberFormat="1" applyFont="1" applyFill="1" applyBorder="1" applyAlignment="1" applyProtection="1">
      <alignment horizontal="right"/>
      <protection locked="0"/>
    </xf>
    <xf numFmtId="3" fontId="2" fillId="11" borderId="89" xfId="0" applyNumberFormat="1" applyFont="1" applyFill="1" applyBorder="1" applyAlignment="1" applyProtection="1">
      <alignment horizontal="right"/>
      <protection locked="0"/>
    </xf>
    <xf numFmtId="3" fontId="2" fillId="11" borderId="38" xfId="0" applyNumberFormat="1" applyFont="1" applyFill="1" applyBorder="1" applyAlignment="1" applyProtection="1">
      <alignment horizontal="right"/>
      <protection locked="0"/>
    </xf>
    <xf numFmtId="3" fontId="2" fillId="11" borderId="39" xfId="0" applyNumberFormat="1" applyFont="1" applyFill="1" applyBorder="1" applyAlignment="1" applyProtection="1">
      <alignment horizontal="right"/>
      <protection locked="0"/>
    </xf>
    <xf numFmtId="0" fontId="2" fillId="11" borderId="0" xfId="0" applyFont="1" applyFill="1" applyBorder="1" applyAlignment="1" applyProtection="1">
      <alignment horizontal="center"/>
      <protection locked="0"/>
    </xf>
    <xf numFmtId="0" fontId="2" fillId="11" borderId="92" xfId="0" applyFont="1" applyFill="1" applyBorder="1" applyProtection="1">
      <protection locked="0"/>
    </xf>
    <xf numFmtId="0" fontId="2" fillId="11" borderId="71" xfId="0" applyFont="1" applyFill="1" applyBorder="1" applyProtection="1">
      <protection locked="0"/>
    </xf>
    <xf numFmtId="0" fontId="2" fillId="11" borderId="93" xfId="0" applyFont="1" applyFill="1" applyBorder="1" applyProtection="1">
      <protection locked="0"/>
    </xf>
    <xf numFmtId="3" fontId="2" fillId="11" borderId="102" xfId="0" applyNumberFormat="1" applyFont="1" applyFill="1" applyBorder="1" applyAlignment="1" applyProtection="1">
      <alignment horizontal="right"/>
      <protection locked="0"/>
    </xf>
    <xf numFmtId="3" fontId="2" fillId="11" borderId="13" xfId="0" applyNumberFormat="1" applyFont="1" applyFill="1" applyBorder="1" applyAlignment="1" applyProtection="1">
      <alignment horizontal="right"/>
      <protection locked="0"/>
    </xf>
    <xf numFmtId="3" fontId="2" fillId="11" borderId="20" xfId="0" quotePrefix="1" applyNumberFormat="1" applyFont="1" applyFill="1" applyBorder="1" applyAlignment="1" applyProtection="1">
      <alignment horizontal="right"/>
    </xf>
    <xf numFmtId="3" fontId="2" fillId="11" borderId="15" xfId="0" quotePrefix="1" applyNumberFormat="1" applyFont="1" applyFill="1" applyBorder="1" applyAlignment="1" applyProtection="1">
      <alignment horizontal="right"/>
    </xf>
    <xf numFmtId="3" fontId="2" fillId="11" borderId="18" xfId="0" quotePrefix="1" applyNumberFormat="1" applyFont="1" applyFill="1" applyBorder="1" applyAlignment="1" applyProtection="1">
      <alignment horizontal="right"/>
    </xf>
    <xf numFmtId="0" fontId="0" fillId="11" borderId="0" xfId="0" applyFill="1" applyAlignment="1" applyProtection="1">
      <protection locked="0"/>
    </xf>
    <xf numFmtId="0" fontId="0" fillId="11" borderId="4" xfId="0" applyFill="1" applyBorder="1" applyAlignment="1" applyProtection="1">
      <protection locked="0"/>
    </xf>
    <xf numFmtId="0" fontId="0" fillId="11" borderId="0" xfId="0" applyFill="1"/>
    <xf numFmtId="0" fontId="0" fillId="11" borderId="0" xfId="0" applyFont="1" applyFill="1"/>
    <xf numFmtId="1" fontId="2" fillId="11" borderId="101" xfId="0" applyNumberFormat="1" applyFont="1" applyFill="1" applyBorder="1" applyAlignment="1" applyProtection="1">
      <alignment horizontal="right"/>
      <protection locked="0"/>
    </xf>
    <xf numFmtId="1" fontId="2" fillId="11" borderId="13" xfId="0" applyNumberFormat="1" applyFont="1" applyFill="1" applyBorder="1" applyAlignment="1" applyProtection="1">
      <alignment horizontal="right"/>
      <protection locked="0"/>
    </xf>
    <xf numFmtId="0" fontId="2" fillId="14" borderId="0" xfId="0" applyFont="1" applyFill="1"/>
    <xf numFmtId="0" fontId="0" fillId="14" borderId="0" xfId="0" applyFill="1"/>
    <xf numFmtId="0" fontId="2" fillId="14" borderId="0" xfId="0" applyFont="1" applyFill="1" applyBorder="1" applyProtection="1"/>
    <xf numFmtId="0" fontId="0" fillId="11" borderId="0" xfId="0" applyFill="1" applyBorder="1" applyAlignment="1" applyProtection="1">
      <protection locked="0"/>
    </xf>
    <xf numFmtId="3" fontId="5" fillId="0" borderId="1" xfId="0" applyNumberFormat="1" applyFont="1" applyBorder="1" applyProtection="1"/>
    <xf numFmtId="3" fontId="5" fillId="0" borderId="48" xfId="0" applyNumberFormat="1" applyFont="1" applyBorder="1" applyProtection="1"/>
    <xf numFmtId="3" fontId="5" fillId="0" borderId="23" xfId="0" applyNumberFormat="1" applyFont="1" applyBorder="1" applyProtection="1"/>
    <xf numFmtId="3" fontId="5" fillId="0" borderId="28" xfId="0" applyNumberFormat="1" applyFont="1" applyBorder="1" applyProtection="1"/>
    <xf numFmtId="3" fontId="2" fillId="6" borderId="0" xfId="0" applyNumberFormat="1" applyFont="1" applyFill="1" applyBorder="1" applyProtection="1"/>
    <xf numFmtId="3" fontId="2" fillId="6" borderId="42" xfId="0" applyNumberFormat="1" applyFont="1" applyFill="1" applyBorder="1" applyProtection="1"/>
    <xf numFmtId="3" fontId="2" fillId="6" borderId="15" xfId="0" applyNumberFormat="1" applyFont="1" applyFill="1" applyBorder="1" applyProtection="1"/>
    <xf numFmtId="3" fontId="2" fillId="6" borderId="18" xfId="0" applyNumberFormat="1" applyFont="1" applyFill="1" applyBorder="1" applyProtection="1"/>
    <xf numFmtId="3" fontId="5" fillId="6" borderId="0" xfId="0" applyNumberFormat="1" applyFont="1" applyFill="1" applyBorder="1" applyProtection="1"/>
    <xf numFmtId="3" fontId="5" fillId="6" borderId="42" xfId="0" applyNumberFormat="1" applyFont="1" applyFill="1" applyBorder="1" applyProtection="1"/>
    <xf numFmtId="3" fontId="5" fillId="6" borderId="15" xfId="0" applyNumberFormat="1" applyFont="1" applyFill="1" applyBorder="1" applyProtection="1"/>
    <xf numFmtId="3" fontId="5" fillId="6" borderId="18" xfId="0" applyNumberFormat="1" applyFont="1" applyFill="1" applyBorder="1" applyProtection="1"/>
    <xf numFmtId="0" fontId="5" fillId="6" borderId="42" xfId="0" applyFont="1" applyFill="1" applyBorder="1" applyAlignment="1" applyProtection="1"/>
    <xf numFmtId="0" fontId="5" fillId="6" borderId="15" xfId="0" applyFont="1" applyFill="1" applyBorder="1" applyAlignment="1" applyProtection="1"/>
    <xf numFmtId="0" fontId="5" fillId="6" borderId="18" xfId="0" applyFont="1" applyFill="1" applyBorder="1" applyAlignment="1" applyProtection="1"/>
    <xf numFmtId="3" fontId="2" fillId="6" borderId="43" xfId="0" applyNumberFormat="1" applyFont="1" applyFill="1" applyBorder="1" applyProtection="1"/>
    <xf numFmtId="3" fontId="5" fillId="0" borderId="7" xfId="0" applyNumberFormat="1" applyFont="1" applyBorder="1" applyProtection="1"/>
    <xf numFmtId="0" fontId="2" fillId="2" borderId="8" xfId="0" applyFont="1" applyFill="1" applyBorder="1" applyAlignment="1" applyProtection="1"/>
    <xf numFmtId="3" fontId="5" fillId="6" borderId="8" xfId="0" applyNumberFormat="1" applyFont="1" applyFill="1" applyBorder="1" applyProtection="1"/>
    <xf numFmtId="0" fontId="5" fillId="6" borderId="8" xfId="0" applyFont="1" applyFill="1" applyBorder="1" applyAlignment="1" applyProtection="1"/>
    <xf numFmtId="3" fontId="6" fillId="6" borderId="8" xfId="0" applyNumberFormat="1" applyFont="1" applyFill="1" applyBorder="1" applyProtection="1"/>
    <xf numFmtId="3" fontId="6" fillId="6" borderId="106" xfId="0" applyNumberFormat="1" applyFont="1" applyFill="1" applyBorder="1" applyProtection="1"/>
    <xf numFmtId="0" fontId="2" fillId="6" borderId="8" xfId="0" applyFont="1" applyFill="1" applyBorder="1" applyAlignment="1" applyProtection="1"/>
    <xf numFmtId="3" fontId="2" fillId="6" borderId="8" xfId="0" applyNumberFormat="1" applyFont="1" applyFill="1" applyBorder="1" applyProtection="1"/>
    <xf numFmtId="3" fontId="2" fillId="6" borderId="106" xfId="0" applyNumberFormat="1" applyFont="1" applyFill="1" applyBorder="1" applyProtection="1"/>
    <xf numFmtId="0" fontId="2" fillId="6" borderId="0" xfId="0" applyFont="1" applyFill="1" applyBorder="1" applyProtection="1"/>
    <xf numFmtId="3" fontId="32" fillId="6" borderId="0" xfId="0" applyNumberFormat="1" applyFont="1" applyFill="1" applyAlignment="1" applyProtection="1"/>
    <xf numFmtId="0" fontId="0" fillId="11" borderId="0" xfId="0" applyFill="1" applyProtection="1">
      <protection locked="0"/>
    </xf>
    <xf numFmtId="0" fontId="6" fillId="11" borderId="0" xfId="0" applyFont="1" applyFill="1" applyBorder="1" applyProtection="1">
      <protection locked="0"/>
    </xf>
    <xf numFmtId="0" fontId="6" fillId="11" borderId="0" xfId="0" applyFont="1" applyFill="1" applyBorder="1" applyAlignment="1" applyProtection="1">
      <protection locked="0"/>
    </xf>
    <xf numFmtId="0" fontId="5" fillId="6" borderId="4" xfId="0" applyFont="1" applyFill="1" applyBorder="1" applyAlignment="1"/>
    <xf numFmtId="0" fontId="0" fillId="2" borderId="0" xfId="0" applyFill="1" applyProtection="1">
      <protection locked="0"/>
    </xf>
    <xf numFmtId="0" fontId="21" fillId="2" borderId="0" xfId="0" applyFont="1" applyFill="1" applyProtection="1">
      <protection locked="0"/>
    </xf>
    <xf numFmtId="0" fontId="16" fillId="2" borderId="0" xfId="0" applyFont="1" applyFill="1" applyProtection="1">
      <protection locked="0"/>
    </xf>
    <xf numFmtId="166" fontId="3" fillId="2" borderId="0" xfId="0" applyNumberFormat="1" applyFont="1" applyFill="1" applyProtection="1">
      <protection locked="0"/>
    </xf>
    <xf numFmtId="166" fontId="3" fillId="0" borderId="0" xfId="0" applyNumberFormat="1" applyFont="1" applyFill="1" applyAlignment="1" applyProtection="1">
      <alignment horizontal="left"/>
      <protection locked="0"/>
    </xf>
    <xf numFmtId="0" fontId="0" fillId="2" borderId="41" xfId="0" applyFill="1" applyBorder="1" applyProtection="1">
      <protection locked="0"/>
    </xf>
    <xf numFmtId="0" fontId="17" fillId="2" borderId="41" xfId="0" applyFont="1" applyFill="1" applyBorder="1" applyProtection="1">
      <protection locked="0"/>
    </xf>
    <xf numFmtId="0" fontId="17" fillId="2" borderId="0" xfId="0" applyFont="1" applyFill="1" applyProtection="1">
      <protection locked="0"/>
    </xf>
    <xf numFmtId="166" fontId="3" fillId="2" borderId="0" xfId="0" applyNumberFormat="1" applyFont="1" applyFill="1" applyAlignment="1" applyProtection="1">
      <alignment horizontal="left"/>
      <protection locked="0"/>
    </xf>
    <xf numFmtId="0" fontId="5" fillId="0" borderId="0" xfId="0" applyFont="1" applyFill="1" applyBorder="1" applyAlignment="1"/>
    <xf numFmtId="0" fontId="6" fillId="0" borderId="0" xfId="0" applyFont="1" applyFill="1" applyBorder="1" applyAlignment="1"/>
    <xf numFmtId="2" fontId="0" fillId="2" borderId="0" xfId="0" applyNumberFormat="1" applyFill="1" applyProtection="1">
      <protection locked="0"/>
    </xf>
    <xf numFmtId="2" fontId="0" fillId="2" borderId="41" xfId="0" applyNumberFormat="1" applyFill="1" applyBorder="1" applyProtection="1">
      <protection locked="0"/>
    </xf>
    <xf numFmtId="2" fontId="20" fillId="2" borderId="0" xfId="0" applyNumberFormat="1" applyFont="1" applyFill="1" applyProtection="1">
      <protection locked="0"/>
    </xf>
    <xf numFmtId="2" fontId="21" fillId="2" borderId="0" xfId="0" applyNumberFormat="1" applyFont="1" applyFill="1" applyProtection="1">
      <protection locked="0"/>
    </xf>
    <xf numFmtId="0" fontId="0" fillId="2" borderId="105" xfId="0" applyFill="1" applyBorder="1" applyProtection="1">
      <protection locked="0"/>
    </xf>
    <xf numFmtId="166" fontId="3" fillId="2" borderId="105" xfId="0" applyNumberFormat="1" applyFont="1" applyFill="1" applyBorder="1" applyProtection="1">
      <protection locked="0"/>
    </xf>
    <xf numFmtId="166" fontId="3" fillId="2" borderId="105" xfId="0" applyNumberFormat="1" applyFont="1" applyFill="1" applyBorder="1" applyAlignment="1" applyProtection="1">
      <alignment horizontal="left"/>
      <protection locked="0"/>
    </xf>
    <xf numFmtId="3" fontId="9" fillId="6" borderId="3" xfId="0" applyNumberFormat="1" applyFont="1" applyFill="1" applyBorder="1" applyProtection="1"/>
    <xf numFmtId="0" fontId="9" fillId="6" borderId="3" xfId="0" applyFont="1" applyFill="1" applyBorder="1" applyProtection="1"/>
    <xf numFmtId="0" fontId="6" fillId="6" borderId="0" xfId="0" applyFont="1" applyFill="1" applyProtection="1"/>
    <xf numFmtId="0" fontId="6" fillId="6" borderId="3" xfId="0" applyFont="1" applyFill="1" applyBorder="1" applyProtection="1"/>
    <xf numFmtId="0" fontId="43" fillId="6" borderId="0" xfId="0" applyFont="1" applyFill="1" applyBorder="1" applyProtection="1"/>
    <xf numFmtId="3" fontId="35" fillId="7" borderId="0" xfId="0" applyNumberFormat="1" applyFont="1" applyFill="1" applyAlignment="1" applyProtection="1"/>
    <xf numFmtId="0" fontId="43" fillId="6" borderId="0" xfId="0" applyFont="1" applyFill="1" applyProtection="1"/>
    <xf numFmtId="0" fontId="0" fillId="0" borderId="0" xfId="0" applyFill="1" applyProtection="1">
      <protection locked="0"/>
    </xf>
    <xf numFmtId="0" fontId="0" fillId="0" borderId="0" xfId="0" applyFill="1"/>
    <xf numFmtId="0" fontId="6" fillId="0" borderId="0" xfId="0" applyFont="1" applyFill="1" applyBorder="1" applyProtection="1">
      <protection locked="0"/>
    </xf>
    <xf numFmtId="0" fontId="6" fillId="0" borderId="0" xfId="0" applyFont="1" applyFill="1" applyBorder="1" applyAlignment="1" applyProtection="1">
      <protection locked="0"/>
    </xf>
    <xf numFmtId="0" fontId="2" fillId="0" borderId="0" xfId="0" applyFont="1"/>
    <xf numFmtId="164" fontId="2" fillId="15" borderId="0" xfId="1" applyNumberFormat="1" applyFont="1" applyFill="1" applyProtection="1"/>
    <xf numFmtId="0" fontId="2" fillId="2" borderId="0" xfId="0" applyFont="1" applyFill="1" applyBorder="1" applyAlignment="1" applyProtection="1">
      <alignment horizontal="center"/>
    </xf>
    <xf numFmtId="0" fontId="5" fillId="2" borderId="0" xfId="0" applyFont="1" applyFill="1" applyBorder="1" applyAlignment="1" applyProtection="1"/>
    <xf numFmtId="0" fontId="5" fillId="2" borderId="4" xfId="0" applyFont="1" applyFill="1" applyBorder="1" applyAlignment="1" applyProtection="1"/>
    <xf numFmtId="0" fontId="11" fillId="2" borderId="0" xfId="0" applyFont="1" applyFill="1" applyAlignment="1" applyProtection="1"/>
    <xf numFmtId="0" fontId="5" fillId="2" borderId="5" xfId="0" applyFont="1" applyFill="1" applyBorder="1" applyAlignment="1" applyProtection="1"/>
    <xf numFmtId="0" fontId="39" fillId="2" borderId="0" xfId="0" applyFont="1" applyFill="1" applyAlignment="1" applyProtection="1"/>
    <xf numFmtId="0" fontId="9" fillId="2" borderId="0" xfId="0" applyFont="1" applyFill="1" applyBorder="1" applyAlignment="1" applyProtection="1"/>
    <xf numFmtId="0" fontId="2" fillId="2" borderId="0" xfId="0" applyFont="1" applyFill="1" applyBorder="1" applyAlignment="1" applyProtection="1"/>
    <xf numFmtId="0" fontId="5" fillId="2" borderId="14" xfId="0" applyFont="1" applyFill="1" applyBorder="1" applyAlignment="1" applyProtection="1"/>
    <xf numFmtId="0" fontId="5" fillId="2" borderId="14" xfId="0" applyFont="1" applyFill="1" applyBorder="1" applyAlignment="1" applyProtection="1">
      <alignment horizontal="right"/>
    </xf>
    <xf numFmtId="0" fontId="5" fillId="2" borderId="87" xfId="0" applyFont="1" applyFill="1" applyBorder="1" applyProtection="1"/>
    <xf numFmtId="0" fontId="2" fillId="0" borderId="8" xfId="0" applyFont="1" applyFill="1" applyBorder="1" applyAlignment="1" applyProtection="1">
      <alignment wrapText="1"/>
      <protection locked="0"/>
    </xf>
    <xf numFmtId="3" fontId="2" fillId="0" borderId="55" xfId="0" applyNumberFormat="1" applyFont="1" applyFill="1" applyBorder="1" applyAlignment="1" applyProtection="1">
      <alignment wrapText="1"/>
      <protection locked="0"/>
    </xf>
    <xf numFmtId="0" fontId="5" fillId="2" borderId="11" xfId="0" applyFont="1" applyFill="1" applyBorder="1" applyAlignment="1" applyProtection="1"/>
    <xf numFmtId="0" fontId="5" fillId="2" borderId="13" xfId="0" applyFont="1" applyFill="1" applyBorder="1" applyAlignment="1" applyProtection="1"/>
    <xf numFmtId="3" fontId="2" fillId="0" borderId="109" xfId="0" applyNumberFormat="1" applyFont="1" applyFill="1" applyBorder="1" applyAlignment="1" applyProtection="1">
      <alignment wrapText="1"/>
      <protection locked="0"/>
    </xf>
    <xf numFmtId="3" fontId="2" fillId="0" borderId="110" xfId="0" applyNumberFormat="1" applyFont="1" applyFill="1" applyBorder="1" applyAlignment="1" applyProtection="1">
      <alignment horizontal="right" wrapText="1"/>
      <protection locked="0"/>
    </xf>
    <xf numFmtId="3" fontId="2" fillId="0" borderId="108" xfId="0" applyNumberFormat="1" applyFont="1" applyFill="1" applyBorder="1" applyAlignment="1" applyProtection="1">
      <alignment horizontal="right" wrapText="1"/>
      <protection locked="0"/>
    </xf>
    <xf numFmtId="3" fontId="5" fillId="0" borderId="58" xfId="0" applyNumberFormat="1" applyFont="1" applyFill="1" applyBorder="1" applyAlignment="1" applyProtection="1">
      <alignment horizontal="right" wrapText="1"/>
      <protection locked="0"/>
    </xf>
    <xf numFmtId="0" fontId="5" fillId="2" borderId="112" xfId="0" applyFont="1" applyFill="1" applyBorder="1" applyProtection="1"/>
    <xf numFmtId="3" fontId="2" fillId="0" borderId="117" xfId="0" applyNumberFormat="1" applyFont="1" applyFill="1" applyBorder="1" applyAlignment="1" applyProtection="1">
      <alignment wrapText="1"/>
      <protection locked="0"/>
    </xf>
    <xf numFmtId="3" fontId="2" fillId="0" borderId="118" xfId="0" applyNumberFormat="1" applyFont="1" applyFill="1" applyBorder="1" applyAlignment="1" applyProtection="1">
      <alignment wrapText="1"/>
      <protection locked="0"/>
    </xf>
    <xf numFmtId="3" fontId="2" fillId="0" borderId="107" xfId="0" applyNumberFormat="1" applyFont="1" applyFill="1" applyBorder="1" applyAlignment="1" applyProtection="1">
      <alignment wrapText="1"/>
      <protection locked="0"/>
    </xf>
    <xf numFmtId="3" fontId="2" fillId="0" borderId="119" xfId="0" applyNumberFormat="1" applyFont="1" applyFill="1" applyBorder="1" applyAlignment="1" applyProtection="1">
      <alignment wrapText="1"/>
      <protection locked="0"/>
    </xf>
    <xf numFmtId="0" fontId="2" fillId="0" borderId="120" xfId="0" applyFont="1" applyFill="1" applyBorder="1" applyAlignment="1" applyProtection="1">
      <alignment wrapText="1"/>
      <protection locked="0"/>
    </xf>
    <xf numFmtId="3" fontId="5" fillId="0" borderId="96" xfId="0" applyNumberFormat="1" applyFont="1" applyFill="1" applyBorder="1" applyAlignment="1" applyProtection="1">
      <alignment horizontal="right" wrapText="1"/>
      <protection locked="0"/>
    </xf>
    <xf numFmtId="0" fontId="2" fillId="0" borderId="122" xfId="0" applyFont="1" applyFill="1" applyBorder="1" applyAlignment="1" applyProtection="1">
      <alignment wrapText="1"/>
      <protection locked="0"/>
    </xf>
    <xf numFmtId="3" fontId="2" fillId="0" borderId="122" xfId="0" applyNumberFormat="1" applyFont="1" applyFill="1" applyBorder="1" applyAlignment="1" applyProtection="1">
      <alignment wrapText="1"/>
      <protection locked="0"/>
    </xf>
    <xf numFmtId="3" fontId="2" fillId="0" borderId="113" xfId="0" applyNumberFormat="1" applyFont="1" applyFill="1" applyBorder="1" applyAlignment="1" applyProtection="1">
      <alignment wrapText="1"/>
      <protection locked="0"/>
    </xf>
    <xf numFmtId="3" fontId="6" fillId="0" borderId="107" xfId="0" applyNumberFormat="1" applyFont="1" applyFill="1" applyBorder="1" applyAlignment="1" applyProtection="1">
      <alignment wrapText="1"/>
      <protection locked="0"/>
    </xf>
    <xf numFmtId="3" fontId="6" fillId="0" borderId="119" xfId="0" applyNumberFormat="1" applyFont="1" applyFill="1" applyBorder="1" applyAlignment="1" applyProtection="1">
      <alignment wrapText="1"/>
      <protection locked="0"/>
    </xf>
    <xf numFmtId="3" fontId="2" fillId="0" borderId="99" xfId="0" applyNumberFormat="1" applyFont="1" applyFill="1" applyBorder="1" applyAlignment="1" applyProtection="1">
      <alignment wrapText="1"/>
      <protection locked="0"/>
    </xf>
    <xf numFmtId="0" fontId="60" fillId="0" borderId="0" xfId="0" applyFont="1" applyFill="1" applyBorder="1" applyAlignment="1" applyProtection="1">
      <alignment vertical="center"/>
    </xf>
    <xf numFmtId="0" fontId="47" fillId="0" borderId="111" xfId="0" applyFont="1" applyFill="1" applyBorder="1" applyAlignment="1" applyProtection="1">
      <alignment vertical="center"/>
    </xf>
    <xf numFmtId="0" fontId="60" fillId="0" borderId="114" xfId="0" applyFont="1" applyFill="1" applyBorder="1" applyAlignment="1" applyProtection="1">
      <alignment vertical="center" wrapText="1"/>
    </xf>
    <xf numFmtId="0" fontId="60" fillId="0" borderId="3" xfId="0" applyFont="1" applyFill="1" applyBorder="1" applyAlignment="1" applyProtection="1">
      <alignment vertical="center"/>
    </xf>
    <xf numFmtId="0" fontId="60" fillId="0" borderId="3" xfId="0" applyFont="1" applyFill="1" applyBorder="1" applyAlignment="1" applyProtection="1">
      <alignment vertical="center" wrapText="1"/>
    </xf>
    <xf numFmtId="0" fontId="60" fillId="0" borderId="121" xfId="0" applyFont="1" applyFill="1" applyBorder="1" applyAlignment="1" applyProtection="1">
      <alignment vertical="center" wrapText="1"/>
    </xf>
    <xf numFmtId="0" fontId="47" fillId="0" borderId="18" xfId="0" applyFont="1" applyFill="1" applyBorder="1" applyAlignment="1" applyProtection="1">
      <alignment vertical="center"/>
    </xf>
    <xf numFmtId="0" fontId="60" fillId="0" borderId="0" xfId="0" applyFont="1" applyFill="1" applyBorder="1" applyAlignment="1" applyProtection="1">
      <alignment vertical="center" wrapText="1"/>
    </xf>
    <xf numFmtId="0" fontId="61" fillId="0" borderId="0" xfId="0" applyFont="1" applyFill="1" applyBorder="1" applyAlignment="1" applyProtection="1">
      <alignment vertical="center" wrapText="1"/>
    </xf>
    <xf numFmtId="0" fontId="60" fillId="0" borderId="123" xfId="0" applyFont="1" applyFill="1" applyBorder="1" applyAlignment="1" applyProtection="1">
      <alignment vertical="center" wrapText="1"/>
    </xf>
    <xf numFmtId="0" fontId="2" fillId="0" borderId="13" xfId="0" applyFont="1" applyFill="1" applyBorder="1" applyAlignment="1" applyProtection="1">
      <alignment horizontal="center" wrapText="1"/>
      <protection locked="0"/>
    </xf>
    <xf numFmtId="0" fontId="2" fillId="0" borderId="113" xfId="0" applyFont="1" applyFill="1" applyBorder="1" applyAlignment="1" applyProtection="1">
      <alignment horizontal="center" wrapText="1"/>
      <protection locked="0"/>
    </xf>
    <xf numFmtId="0" fontId="2" fillId="0" borderId="116" xfId="0" applyFont="1" applyFill="1" applyBorder="1" applyAlignment="1" applyProtection="1">
      <alignment horizontal="center" wrapText="1"/>
      <protection locked="0"/>
    </xf>
    <xf numFmtId="0" fontId="2" fillId="0" borderId="114" xfId="0" applyFont="1" applyFill="1" applyBorder="1" applyAlignment="1" applyProtection="1">
      <alignment horizontal="center" wrapText="1"/>
      <protection locked="0"/>
    </xf>
    <xf numFmtId="0" fontId="2" fillId="0" borderId="3" xfId="0" applyFont="1" applyFill="1" applyBorder="1" applyAlignment="1" applyProtection="1">
      <alignment horizontal="center" wrapText="1"/>
      <protection locked="0"/>
    </xf>
    <xf numFmtId="0" fontId="2" fillId="0" borderId="115" xfId="0" applyFont="1" applyFill="1" applyBorder="1" applyAlignment="1" applyProtection="1">
      <alignment horizontal="center" wrapText="1"/>
      <protection locked="0"/>
    </xf>
    <xf numFmtId="164" fontId="2" fillId="11" borderId="124" xfId="1" applyNumberFormat="1" applyFont="1" applyFill="1" applyBorder="1" applyProtection="1">
      <protection locked="0"/>
    </xf>
    <xf numFmtId="164" fontId="2" fillId="11" borderId="125" xfId="1" applyNumberFormat="1" applyFont="1" applyFill="1" applyBorder="1" applyProtection="1">
      <protection locked="0"/>
    </xf>
    <xf numFmtId="164" fontId="2" fillId="6" borderId="33" xfId="1" applyNumberFormat="1" applyFont="1" applyFill="1" applyBorder="1" applyProtection="1">
      <protection locked="0"/>
    </xf>
    <xf numFmtId="164" fontId="2" fillId="6" borderId="47" xfId="1" applyNumberFormat="1" applyFont="1" applyFill="1" applyBorder="1" applyProtection="1">
      <protection locked="0"/>
    </xf>
    <xf numFmtId="0" fontId="2" fillId="2" borderId="0" xfId="0" quotePrefix="1" applyFont="1" applyFill="1"/>
    <xf numFmtId="0" fontId="33" fillId="2" borderId="0" xfId="1557" applyFill="1"/>
    <xf numFmtId="168" fontId="11" fillId="0" borderId="0" xfId="0" applyNumberFormat="1" applyFont="1" applyFill="1" applyProtection="1"/>
    <xf numFmtId="169" fontId="11" fillId="0" borderId="0" xfId="0" applyNumberFormat="1" applyFont="1" applyFill="1" applyProtection="1"/>
    <xf numFmtId="0" fontId="43" fillId="2" borderId="4" xfId="0" applyFont="1" applyFill="1" applyBorder="1" applyAlignment="1"/>
    <xf numFmtId="0" fontId="5" fillId="2" borderId="4" xfId="0" applyFont="1" applyFill="1" applyBorder="1" applyAlignment="1"/>
    <xf numFmtId="0" fontId="5" fillId="6" borderId="4" xfId="0" applyFont="1" applyFill="1" applyBorder="1" applyAlignment="1" applyProtection="1"/>
    <xf numFmtId="0" fontId="5" fillId="6" borderId="4" xfId="0" applyFont="1" applyFill="1" applyBorder="1" applyAlignment="1"/>
    <xf numFmtId="0" fontId="43" fillId="6" borderId="0" xfId="0" applyFont="1" applyFill="1" applyBorder="1" applyAlignment="1" applyProtection="1"/>
    <xf numFmtId="0" fontId="9" fillId="2" borderId="0" xfId="0" applyFont="1" applyFill="1" applyBorder="1" applyAlignment="1" applyProtection="1"/>
    <xf numFmtId="0" fontId="9" fillId="2" borderId="4" xfId="0" applyFont="1" applyFill="1" applyBorder="1" applyAlignment="1" applyProtection="1"/>
    <xf numFmtId="0" fontId="2" fillId="2" borderId="0" xfId="0" applyFont="1" applyFill="1" applyBorder="1" applyAlignment="1" applyProtection="1"/>
    <xf numFmtId="0" fontId="5" fillId="0" borderId="0" xfId="0" applyFont="1" applyFill="1" applyBorder="1" applyAlignment="1"/>
    <xf numFmtId="0" fontId="6" fillId="0" borderId="0" xfId="0" applyFont="1" applyFill="1" applyBorder="1" applyAlignment="1"/>
    <xf numFmtId="3" fontId="2" fillId="2" borderId="8" xfId="0" quotePrefix="1" applyNumberFormat="1" applyFont="1" applyFill="1" applyBorder="1" applyAlignment="1" applyProtection="1">
      <alignment horizontal="right"/>
    </xf>
    <xf numFmtId="3" fontId="9" fillId="6" borderId="120" xfId="0" applyNumberFormat="1" applyFont="1" applyFill="1" applyBorder="1" applyAlignment="1" applyProtection="1">
      <alignment horizontal="right"/>
    </xf>
    <xf numFmtId="3" fontId="9" fillId="2" borderId="120" xfId="0" applyNumberFormat="1" applyFont="1" applyFill="1" applyBorder="1" applyAlignment="1" applyProtection="1">
      <alignment horizontal="right"/>
    </xf>
    <xf numFmtId="0" fontId="45" fillId="6" borderId="3" xfId="0" applyFont="1" applyFill="1" applyBorder="1" applyAlignment="1">
      <alignment horizontal="left"/>
    </xf>
    <xf numFmtId="0" fontId="5" fillId="6" borderId="3" xfId="0" applyFont="1" applyFill="1" applyBorder="1" applyAlignment="1">
      <alignment horizontal="left"/>
    </xf>
    <xf numFmtId="0" fontId="7" fillId="6" borderId="127" xfId="0" applyFont="1" applyFill="1" applyBorder="1" applyAlignment="1" applyProtection="1">
      <alignment horizontal="right"/>
    </xf>
    <xf numFmtId="0" fontId="7" fillId="6" borderId="128" xfId="0" applyFont="1" applyFill="1" applyBorder="1" applyAlignment="1" applyProtection="1">
      <alignment horizontal="right"/>
    </xf>
    <xf numFmtId="0" fontId="7" fillId="6" borderId="46" xfId="0" applyFont="1" applyFill="1" applyBorder="1" applyAlignment="1" applyProtection="1"/>
    <xf numFmtId="0" fontId="0" fillId="6" borderId="46" xfId="0" applyFill="1" applyBorder="1" applyAlignment="1" applyProtection="1"/>
    <xf numFmtId="0" fontId="0" fillId="6" borderId="45" xfId="0" applyFill="1" applyBorder="1" applyAlignment="1" applyProtection="1"/>
    <xf numFmtId="164" fontId="2" fillId="16" borderId="12" xfId="1" applyNumberFormat="1" applyFont="1" applyFill="1" applyBorder="1" applyAlignment="1" applyProtection="1">
      <alignment horizontal="right"/>
      <protection locked="0"/>
    </xf>
    <xf numFmtId="0" fontId="2" fillId="2" borderId="4" xfId="0" applyFont="1" applyFill="1" applyBorder="1" applyAlignment="1"/>
    <xf numFmtId="0" fontId="6" fillId="2" borderId="0" xfId="0" applyFont="1" applyFill="1" applyBorder="1" applyAlignment="1"/>
    <xf numFmtId="3" fontId="36" fillId="17" borderId="76" xfId="0" applyNumberFormat="1" applyFont="1" applyFill="1" applyBorder="1" applyAlignment="1" applyProtection="1">
      <alignment wrapText="1"/>
      <protection locked="0"/>
    </xf>
    <xf numFmtId="3" fontId="36" fillId="17" borderId="100" xfId="0" applyNumberFormat="1" applyFont="1" applyFill="1" applyBorder="1" applyAlignment="1" applyProtection="1">
      <alignment wrapText="1"/>
      <protection locked="0"/>
    </xf>
    <xf numFmtId="164" fontId="35" fillId="11" borderId="13" xfId="1" applyNumberFormat="1" applyFont="1" applyFill="1" applyBorder="1" applyAlignment="1" applyProtection="1">
      <protection locked="0"/>
    </xf>
    <xf numFmtId="164" fontId="56" fillId="2" borderId="0" xfId="1" applyNumberFormat="1" applyFont="1" applyFill="1" applyBorder="1" applyAlignment="1"/>
    <xf numFmtId="3" fontId="9" fillId="6" borderId="16" xfId="0" applyNumberFormat="1" applyFont="1" applyFill="1" applyBorder="1" applyAlignment="1" applyProtection="1">
      <alignment horizontal="right"/>
    </xf>
    <xf numFmtId="0" fontId="32" fillId="2" borderId="0" xfId="0" applyFont="1" applyFill="1" applyBorder="1" applyAlignment="1" applyProtection="1"/>
    <xf numFmtId="0" fontId="35" fillId="6" borderId="0" xfId="0" applyFont="1" applyFill="1" applyBorder="1" applyAlignment="1"/>
    <xf numFmtId="0" fontId="6" fillId="6" borderId="0" xfId="0" applyFont="1" applyFill="1" applyBorder="1" applyAlignment="1" applyProtection="1">
      <alignment horizontal="left"/>
    </xf>
    <xf numFmtId="0" fontId="2" fillId="2" borderId="0" xfId="0" applyFont="1" applyFill="1" applyBorder="1" applyAlignment="1"/>
    <xf numFmtId="3" fontId="5" fillId="6" borderId="122" xfId="0" applyNumberFormat="1" applyFont="1" applyFill="1" applyBorder="1" applyProtection="1"/>
    <xf numFmtId="3" fontId="5" fillId="6" borderId="125" xfId="0" applyNumberFormat="1" applyFont="1" applyFill="1" applyBorder="1" applyProtection="1"/>
    <xf numFmtId="3" fontId="5" fillId="6" borderId="124" xfId="0" applyNumberFormat="1" applyFont="1" applyFill="1" applyBorder="1" applyProtection="1"/>
    <xf numFmtId="0" fontId="8" fillId="6" borderId="129" xfId="0" applyFont="1" applyFill="1" applyBorder="1"/>
    <xf numFmtId="0" fontId="7" fillId="2" borderId="130" xfId="0" applyFont="1" applyFill="1" applyBorder="1"/>
    <xf numFmtId="0" fontId="9" fillId="2" borderId="130" xfId="0" applyFont="1" applyFill="1" applyBorder="1"/>
    <xf numFmtId="165" fontId="9" fillId="2" borderId="130" xfId="3" applyNumberFormat="1" applyFont="1" applyFill="1" applyBorder="1" applyAlignment="1">
      <alignment horizontal="right"/>
    </xf>
    <xf numFmtId="165" fontId="9" fillId="2" borderId="128" xfId="3" applyNumberFormat="1" applyFont="1" applyFill="1" applyBorder="1" applyAlignment="1">
      <alignment horizontal="right"/>
    </xf>
    <xf numFmtId="9" fontId="9" fillId="6" borderId="13" xfId="3" applyFont="1" applyFill="1" applyBorder="1" applyProtection="1"/>
    <xf numFmtId="0" fontId="0" fillId="6" borderId="0" xfId="0" applyFill="1" applyBorder="1" applyAlignment="1"/>
    <xf numFmtId="0" fontId="2" fillId="6" borderId="0" xfId="0" applyFont="1" applyFill="1" applyBorder="1"/>
    <xf numFmtId="164" fontId="9" fillId="6" borderId="13" xfId="1" applyNumberFormat="1" applyFont="1" applyFill="1" applyBorder="1" applyProtection="1"/>
    <xf numFmtId="0" fontId="45" fillId="6" borderId="9" xfId="0" applyFont="1" applyFill="1" applyBorder="1" applyAlignment="1" applyProtection="1">
      <alignment horizontal="left"/>
    </xf>
    <xf numFmtId="0" fontId="43" fillId="6" borderId="5" xfId="0" applyFont="1" applyFill="1" applyBorder="1" applyAlignment="1" applyProtection="1">
      <alignment horizontal="left"/>
    </xf>
    <xf numFmtId="0" fontId="43" fillId="6" borderId="5" xfId="0" applyFont="1" applyFill="1" applyBorder="1" applyProtection="1"/>
    <xf numFmtId="3" fontId="43" fillId="6" borderId="79" xfId="1" applyNumberFormat="1" applyFont="1" applyFill="1" applyBorder="1" applyProtection="1"/>
    <xf numFmtId="0" fontId="2" fillId="6" borderId="5" xfId="0" applyFont="1" applyFill="1" applyBorder="1" applyAlignment="1" applyProtection="1"/>
    <xf numFmtId="0" fontId="9" fillId="6" borderId="5" xfId="0" applyFont="1" applyFill="1" applyBorder="1" applyAlignment="1" applyProtection="1"/>
    <xf numFmtId="0" fontId="9" fillId="6" borderId="6" xfId="0" applyFont="1" applyFill="1" applyBorder="1" applyAlignment="1" applyProtection="1"/>
    <xf numFmtId="3" fontId="9" fillId="6" borderId="81" xfId="0" applyNumberFormat="1" applyFont="1" applyFill="1" applyBorder="1" applyAlignment="1" applyProtection="1">
      <alignment horizontal="right"/>
    </xf>
    <xf numFmtId="3" fontId="9" fillId="6" borderId="64" xfId="0" applyNumberFormat="1" applyFont="1" applyFill="1" applyBorder="1" applyAlignment="1" applyProtection="1">
      <alignment horizontal="right"/>
    </xf>
    <xf numFmtId="3" fontId="9" fillId="6" borderId="17" xfId="0" applyNumberFormat="1" applyFont="1" applyFill="1" applyBorder="1" applyAlignment="1" applyProtection="1">
      <alignment horizontal="right"/>
    </xf>
    <xf numFmtId="3" fontId="9" fillId="6" borderId="21" xfId="0" applyNumberFormat="1" applyFont="1" applyFill="1" applyBorder="1" applyAlignment="1" applyProtection="1">
      <alignment horizontal="right"/>
    </xf>
    <xf numFmtId="49" fontId="9" fillId="2" borderId="114" xfId="0" applyNumberFormat="1" applyFont="1" applyFill="1" applyBorder="1" applyProtection="1"/>
    <xf numFmtId="0" fontId="2" fillId="6" borderId="1" xfId="0" applyFont="1" applyFill="1" applyBorder="1" applyAlignment="1" applyProtection="1"/>
    <xf numFmtId="0" fontId="9" fillId="6" borderId="1" xfId="0" applyFont="1" applyFill="1" applyBorder="1" applyAlignment="1" applyProtection="1"/>
    <xf numFmtId="0" fontId="9" fillId="6" borderId="126" xfId="0" applyFont="1" applyFill="1" applyBorder="1" applyAlignment="1" applyProtection="1"/>
    <xf numFmtId="3" fontId="9" fillId="6" borderId="112" xfId="0" applyNumberFormat="1" applyFont="1" applyFill="1" applyBorder="1" applyAlignment="1" applyProtection="1">
      <alignment horizontal="right"/>
    </xf>
    <xf numFmtId="3" fontId="9" fillId="3" borderId="120" xfId="0" applyNumberFormat="1" applyFont="1" applyFill="1" applyBorder="1" applyProtection="1">
      <protection locked="0"/>
    </xf>
    <xf numFmtId="3" fontId="9" fillId="2" borderId="132" xfId="0" applyNumberFormat="1" applyFont="1" applyFill="1" applyBorder="1" applyAlignment="1" applyProtection="1">
      <alignment horizontal="right"/>
    </xf>
    <xf numFmtId="3" fontId="9" fillId="6" borderId="133" xfId="0" applyNumberFormat="1" applyFont="1" applyFill="1" applyBorder="1" applyAlignment="1" applyProtection="1">
      <alignment horizontal="right"/>
    </xf>
    <xf numFmtId="3" fontId="9" fillId="6" borderId="134" xfId="0" applyNumberFormat="1" applyFont="1" applyFill="1" applyBorder="1" applyAlignment="1" applyProtection="1">
      <alignment horizontal="right"/>
    </xf>
    <xf numFmtId="3" fontId="9" fillId="6" borderId="135" xfId="0" applyNumberFormat="1" applyFont="1" applyFill="1" applyBorder="1" applyAlignment="1" applyProtection="1">
      <alignment horizontal="right"/>
    </xf>
    <xf numFmtId="0" fontId="9" fillId="6" borderId="0" xfId="0" applyFont="1" applyFill="1" applyBorder="1" applyAlignment="1" applyProtection="1"/>
    <xf numFmtId="0" fontId="9" fillId="6" borderId="4" xfId="0" applyFont="1" applyFill="1" applyBorder="1" applyAlignment="1" applyProtection="1"/>
    <xf numFmtId="3" fontId="9" fillId="6" borderId="13" xfId="0" applyNumberFormat="1" applyFont="1" applyFill="1" applyBorder="1" applyAlignment="1" applyProtection="1">
      <alignment horizontal="right"/>
    </xf>
    <xf numFmtId="3" fontId="9" fillId="6" borderId="24" xfId="0" applyNumberFormat="1" applyFont="1" applyFill="1" applyBorder="1" applyAlignment="1" applyProtection="1">
      <alignment horizontal="right"/>
    </xf>
    <xf numFmtId="3" fontId="9" fillId="6" borderId="15" xfId="0" applyNumberFormat="1" applyFont="1" applyFill="1" applyBorder="1" applyAlignment="1" applyProtection="1">
      <alignment horizontal="right"/>
    </xf>
    <xf numFmtId="3" fontId="9" fillId="6" borderId="18" xfId="0" applyNumberFormat="1" applyFont="1" applyFill="1" applyBorder="1" applyAlignment="1" applyProtection="1">
      <alignment horizontal="right"/>
    </xf>
    <xf numFmtId="3" fontId="9" fillId="6" borderId="80" xfId="0" applyNumberFormat="1" applyFont="1" applyFill="1" applyBorder="1" applyAlignment="1" applyProtection="1">
      <alignment horizontal="right"/>
    </xf>
    <xf numFmtId="3" fontId="9" fillId="6" borderId="106" xfId="0" applyNumberFormat="1" applyFont="1" applyFill="1" applyBorder="1" applyAlignment="1" applyProtection="1">
      <alignment horizontal="right"/>
    </xf>
    <xf numFmtId="3" fontId="9" fillId="6" borderId="131" xfId="0" applyNumberFormat="1" applyFont="1" applyFill="1" applyBorder="1" applyAlignment="1" applyProtection="1">
      <alignment horizontal="right"/>
    </xf>
    <xf numFmtId="3" fontId="9" fillId="6" borderId="136" xfId="0" applyNumberFormat="1" applyFont="1" applyFill="1" applyBorder="1" applyAlignment="1" applyProtection="1">
      <alignment horizontal="right"/>
    </xf>
    <xf numFmtId="3" fontId="9" fillId="6" borderId="124" xfId="0" applyNumberFormat="1" applyFont="1" applyFill="1" applyBorder="1" applyAlignment="1" applyProtection="1">
      <alignment horizontal="right"/>
    </xf>
    <xf numFmtId="49" fontId="9" fillId="6" borderId="3" xfId="0" applyNumberFormat="1" applyFont="1" applyFill="1" applyBorder="1" applyProtection="1"/>
    <xf numFmtId="49" fontId="9" fillId="6" borderId="0" xfId="0" applyNumberFormat="1" applyFont="1" applyFill="1" applyBorder="1" applyProtection="1"/>
    <xf numFmtId="3" fontId="2" fillId="6" borderId="8" xfId="0" applyNumberFormat="1" applyFont="1" applyFill="1" applyBorder="1" applyAlignment="1">
      <alignment horizontal="right"/>
    </xf>
    <xf numFmtId="3" fontId="2" fillId="6" borderId="80" xfId="0" applyNumberFormat="1" applyFont="1" applyFill="1" applyBorder="1" applyAlignment="1">
      <alignment horizontal="right"/>
    </xf>
    <xf numFmtId="3" fontId="2" fillId="6" borderId="24" xfId="0" applyNumberFormat="1" applyFont="1" applyFill="1" applyBorder="1" applyAlignment="1">
      <alignment horizontal="right"/>
    </xf>
    <xf numFmtId="3" fontId="2" fillId="6" borderId="15" xfId="0" applyNumberFormat="1" applyFont="1" applyFill="1" applyBorder="1" applyAlignment="1">
      <alignment horizontal="right"/>
    </xf>
    <xf numFmtId="3" fontId="2" fillId="6" borderId="18" xfId="0" applyNumberFormat="1" applyFont="1" applyFill="1" applyBorder="1" applyAlignment="1">
      <alignment horizontal="right"/>
    </xf>
    <xf numFmtId="0" fontId="2" fillId="10" borderId="127" xfId="0" applyFont="1" applyFill="1" applyBorder="1" applyProtection="1">
      <protection locked="0"/>
    </xf>
    <xf numFmtId="0" fontId="2" fillId="11" borderId="127" xfId="0" applyFont="1" applyFill="1" applyBorder="1" applyAlignment="1" applyProtection="1">
      <alignment horizontal="left"/>
      <protection locked="0"/>
    </xf>
    <xf numFmtId="0" fontId="2" fillId="10" borderId="113" xfId="0" applyFont="1" applyFill="1" applyBorder="1" applyProtection="1">
      <protection locked="0"/>
    </xf>
    <xf numFmtId="3" fontId="5" fillId="11" borderId="112" xfId="1" applyNumberFormat="1" applyFont="1" applyFill="1" applyBorder="1" applyProtection="1">
      <protection locked="0"/>
    </xf>
    <xf numFmtId="3" fontId="43" fillId="11" borderId="113" xfId="1" applyNumberFormat="1" applyFont="1" applyFill="1" applyBorder="1" applyProtection="1">
      <protection locked="0"/>
    </xf>
    <xf numFmtId="3" fontId="5" fillId="2" borderId="128" xfId="1" applyNumberFormat="1" applyFont="1" applyFill="1" applyBorder="1" applyProtection="1"/>
    <xf numFmtId="3" fontId="8" fillId="0" borderId="108" xfId="1" applyNumberFormat="1" applyFont="1" applyFill="1" applyBorder="1" applyProtection="1"/>
    <xf numFmtId="3" fontId="5" fillId="2" borderId="4" xfId="1" applyNumberFormat="1" applyFont="1" applyFill="1" applyBorder="1" applyProtection="1"/>
    <xf numFmtId="3" fontId="5" fillId="0" borderId="112" xfId="1" applyNumberFormat="1" applyFont="1" applyFill="1" applyBorder="1" applyProtection="1"/>
    <xf numFmtId="3" fontId="37" fillId="11" borderId="13" xfId="1" applyNumberFormat="1" applyFont="1" applyFill="1" applyBorder="1" applyProtection="1">
      <protection locked="0"/>
    </xf>
    <xf numFmtId="3" fontId="5" fillId="2" borderId="126" xfId="1" applyNumberFormat="1" applyFont="1" applyFill="1" applyBorder="1" applyProtection="1">
      <protection locked="0"/>
    </xf>
    <xf numFmtId="3" fontId="8" fillId="0" borderId="108" xfId="1" applyNumberFormat="1" applyFont="1" applyFill="1" applyBorder="1"/>
    <xf numFmtId="164" fontId="2" fillId="2" borderId="4" xfId="1" applyNumberFormat="1" applyFont="1" applyFill="1" applyBorder="1" applyProtection="1"/>
    <xf numFmtId="3" fontId="5" fillId="6" borderId="108" xfId="1" applyNumberFormat="1" applyFont="1" applyFill="1" applyBorder="1" applyProtection="1"/>
    <xf numFmtId="3" fontId="9" fillId="9" borderId="80" xfId="0" applyNumberFormat="1" applyFont="1" applyFill="1" applyBorder="1" applyAlignment="1" applyProtection="1">
      <alignment horizontal="right"/>
      <protection locked="0"/>
    </xf>
    <xf numFmtId="3" fontId="9" fillId="9" borderId="13" xfId="0" applyNumberFormat="1" applyFont="1" applyFill="1" applyBorder="1" applyAlignment="1" applyProtection="1">
      <alignment horizontal="right"/>
      <protection locked="0"/>
    </xf>
    <xf numFmtId="3" fontId="9" fillId="6" borderId="13" xfId="0" applyNumberFormat="1" applyFont="1" applyFill="1" applyBorder="1" applyAlignment="1" applyProtection="1">
      <alignment horizontal="right"/>
      <protection locked="0"/>
    </xf>
    <xf numFmtId="3" fontId="9" fillId="6" borderId="11" xfId="0" applyNumberFormat="1" applyFont="1" applyFill="1" applyBorder="1" applyAlignment="1" applyProtection="1">
      <alignment horizontal="right"/>
      <protection locked="0"/>
    </xf>
    <xf numFmtId="3" fontId="9" fillId="6" borderId="14" xfId="0" applyNumberFormat="1" applyFont="1" applyFill="1" applyBorder="1" applyAlignment="1" applyProtection="1">
      <alignment horizontal="right"/>
      <protection locked="0"/>
    </xf>
    <xf numFmtId="0" fontId="14" fillId="11" borderId="137" xfId="0" applyFont="1" applyFill="1" applyBorder="1" applyAlignment="1" applyProtection="1">
      <alignment wrapText="1"/>
      <protection locked="0"/>
    </xf>
    <xf numFmtId="0" fontId="14" fillId="11" borderId="119" xfId="0" applyNumberFormat="1" applyFont="1" applyFill="1" applyBorder="1" applyAlignment="1" applyProtection="1">
      <alignment horizontal="center" wrapText="1"/>
      <protection locked="0"/>
    </xf>
    <xf numFmtId="3" fontId="14" fillId="11" borderId="138" xfId="0" applyNumberFormat="1" applyFont="1" applyFill="1" applyBorder="1" applyAlignment="1" applyProtection="1">
      <alignment horizontal="right" wrapText="1"/>
      <protection locked="0"/>
    </xf>
    <xf numFmtId="3" fontId="14" fillId="11" borderId="139" xfId="0" applyNumberFormat="1" applyFont="1" applyFill="1" applyBorder="1" applyAlignment="1" applyProtection="1">
      <alignment wrapText="1"/>
      <protection locked="0"/>
    </xf>
    <xf numFmtId="3" fontId="14" fillId="11" borderId="140" xfId="0" applyNumberFormat="1" applyFont="1" applyFill="1" applyBorder="1" applyAlignment="1" applyProtection="1">
      <alignment horizontal="right" wrapText="1"/>
      <protection locked="0"/>
    </xf>
    <xf numFmtId="3" fontId="14" fillId="11" borderId="141" xfId="0" applyNumberFormat="1" applyFont="1" applyFill="1" applyBorder="1" applyAlignment="1" applyProtection="1">
      <alignment horizontal="right" wrapText="1"/>
      <protection locked="0"/>
    </xf>
    <xf numFmtId="3" fontId="14" fillId="11" borderId="142" xfId="0" applyNumberFormat="1" applyFont="1" applyFill="1" applyBorder="1" applyAlignment="1" applyProtection="1">
      <alignment horizontal="right" wrapText="1"/>
      <protection locked="0"/>
    </xf>
    <xf numFmtId="2" fontId="22" fillId="2" borderId="0" xfId="0" applyNumberFormat="1" applyFont="1" applyFill="1" applyAlignment="1" applyProtection="1">
      <protection locked="0"/>
    </xf>
    <xf numFmtId="2" fontId="0" fillId="0" borderId="0" xfId="0" applyNumberFormat="1" applyFont="1" applyAlignment="1" applyProtection="1">
      <protection locked="0"/>
    </xf>
    <xf numFmtId="0" fontId="22" fillId="2" borderId="0" xfId="0" applyFont="1" applyFill="1" applyAlignment="1" applyProtection="1">
      <protection locked="0"/>
    </xf>
    <xf numFmtId="0" fontId="0" fillId="0" borderId="0" xfId="0" applyAlignment="1" applyProtection="1">
      <protection locked="0"/>
    </xf>
    <xf numFmtId="0" fontId="11" fillId="2" borderId="0" xfId="0" applyFont="1" applyFill="1" applyAlignment="1"/>
    <xf numFmtId="0" fontId="0" fillId="0" borderId="0" xfId="0" applyAlignment="1"/>
    <xf numFmtId="0" fontId="2" fillId="2" borderId="3" xfId="0" applyFont="1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horizontal="center"/>
    </xf>
    <xf numFmtId="0" fontId="39" fillId="2" borderId="0" xfId="0" applyFont="1" applyFill="1" applyAlignment="1"/>
    <xf numFmtId="0" fontId="5" fillId="2" borderId="10" xfId="0" applyFont="1" applyFill="1" applyBorder="1" applyAlignment="1"/>
    <xf numFmtId="0" fontId="0" fillId="0" borderId="1" xfId="0" applyBorder="1" applyAlignment="1"/>
    <xf numFmtId="0" fontId="0" fillId="0" borderId="2" xfId="0" applyBorder="1" applyAlignment="1"/>
    <xf numFmtId="0" fontId="0" fillId="0" borderId="9" xfId="0" applyBorder="1" applyAlignment="1"/>
    <xf numFmtId="0" fontId="0" fillId="0" borderId="5" xfId="0" applyBorder="1" applyAlignment="1"/>
    <xf numFmtId="0" fontId="0" fillId="0" borderId="6" xfId="0" applyBorder="1" applyAlignment="1"/>
    <xf numFmtId="0" fontId="2" fillId="2" borderId="9" xfId="0" applyFont="1" applyFill="1" applyBorder="1" applyAlignment="1"/>
    <xf numFmtId="0" fontId="2" fillId="0" borderId="33" xfId="0" applyFont="1" applyFill="1" applyBorder="1" applyAlignment="1"/>
    <xf numFmtId="0" fontId="0" fillId="0" borderId="46" xfId="0" applyFill="1" applyBorder="1" applyAlignment="1"/>
    <xf numFmtId="0" fontId="0" fillId="0" borderId="45" xfId="0" applyFill="1" applyBorder="1" applyAlignment="1"/>
    <xf numFmtId="0" fontId="2" fillId="2" borderId="10" xfId="0" applyFont="1" applyFill="1" applyBorder="1" applyAlignment="1"/>
    <xf numFmtId="0" fontId="2" fillId="2" borderId="0" xfId="0" applyFont="1" applyFill="1" applyBorder="1" applyAlignment="1"/>
    <xf numFmtId="0" fontId="2" fillId="2" borderId="4" xfId="0" applyFont="1" applyFill="1" applyBorder="1" applyAlignment="1"/>
    <xf numFmtId="0" fontId="2" fillId="11" borderId="33" xfId="0" applyFont="1" applyFill="1" applyBorder="1" applyAlignment="1" applyProtection="1">
      <alignment horizontal="left"/>
      <protection locked="0"/>
    </xf>
    <xf numFmtId="0" fontId="0" fillId="11" borderId="45" xfId="0" applyFill="1" applyBorder="1" applyAlignment="1" applyProtection="1">
      <protection locked="0"/>
    </xf>
    <xf numFmtId="0" fontId="0" fillId="0" borderId="0" xfId="0" applyBorder="1" applyAlignment="1"/>
    <xf numFmtId="0" fontId="0" fillId="0" borderId="4" xfId="0" applyBorder="1" applyAlignment="1"/>
    <xf numFmtId="0" fontId="2" fillId="2" borderId="3" xfId="0" applyFont="1" applyFill="1" applyBorder="1" applyAlignment="1"/>
    <xf numFmtId="0" fontId="2" fillId="6" borderId="0" xfId="0" applyFont="1" applyFill="1" applyBorder="1" applyAlignment="1"/>
    <xf numFmtId="0" fontId="0" fillId="6" borderId="0" xfId="0" applyFill="1" applyBorder="1" applyAlignment="1"/>
    <xf numFmtId="0" fontId="0" fillId="6" borderId="4" xfId="0" applyFill="1" applyBorder="1" applyAlignment="1"/>
    <xf numFmtId="0" fontId="2" fillId="2" borderId="33" xfId="0" applyFont="1" applyFill="1" applyBorder="1" applyAlignment="1"/>
    <xf numFmtId="0" fontId="0" fillId="0" borderId="46" xfId="0" applyBorder="1" applyAlignment="1"/>
    <xf numFmtId="0" fontId="0" fillId="0" borderId="45" xfId="0" applyBorder="1" applyAlignment="1"/>
    <xf numFmtId="0" fontId="7" fillId="2" borderId="10" xfId="0" applyFont="1" applyFill="1" applyBorder="1" applyAlignment="1"/>
    <xf numFmtId="22" fontId="2" fillId="2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0" fontId="2" fillId="0" borderId="5" xfId="0" applyFont="1" applyFill="1" applyBorder="1" applyAlignment="1">
      <alignment horizontal="left"/>
    </xf>
    <xf numFmtId="0" fontId="43" fillId="2" borderId="0" xfId="0" applyFont="1" applyFill="1" applyBorder="1" applyAlignment="1"/>
    <xf numFmtId="0" fontId="43" fillId="2" borderId="4" xfId="0" applyFont="1" applyFill="1" applyBorder="1" applyAlignment="1"/>
    <xf numFmtId="0" fontId="8" fillId="2" borderId="0" xfId="0" applyFont="1" applyFill="1" applyBorder="1" applyAlignment="1" applyProtection="1"/>
    <xf numFmtId="0" fontId="0" fillId="0" borderId="0" xfId="0" applyBorder="1" applyAlignment="1" applyProtection="1"/>
    <xf numFmtId="0" fontId="0" fillId="0" borderId="4" xfId="0" applyBorder="1" applyAlignment="1" applyProtection="1"/>
    <xf numFmtId="0" fontId="5" fillId="2" borderId="5" xfId="0" applyFont="1" applyFill="1" applyBorder="1" applyAlignment="1"/>
    <xf numFmtId="0" fontId="5" fillId="2" borderId="0" xfId="0" applyFont="1" applyFill="1" applyBorder="1" applyAlignment="1"/>
    <xf numFmtId="0" fontId="5" fillId="2" borderId="4" xfId="0" applyFont="1" applyFill="1" applyBorder="1" applyAlignment="1"/>
    <xf numFmtId="0" fontId="5" fillId="2" borderId="0" xfId="0" applyFont="1" applyFill="1" applyBorder="1" applyAlignment="1" applyProtection="1"/>
    <xf numFmtId="0" fontId="5" fillId="2" borderId="4" xfId="0" applyFont="1" applyFill="1" applyBorder="1" applyAlignment="1" applyProtection="1"/>
    <xf numFmtId="0" fontId="6" fillId="2" borderId="0" xfId="0" applyFont="1" applyFill="1" applyBorder="1" applyAlignment="1"/>
    <xf numFmtId="0" fontId="6" fillId="2" borderId="4" xfId="0" applyFont="1" applyFill="1" applyBorder="1" applyAlignment="1"/>
    <xf numFmtId="0" fontId="43" fillId="2" borderId="5" xfId="0" applyFont="1" applyFill="1" applyBorder="1" applyAlignment="1"/>
    <xf numFmtId="0" fontId="43" fillId="2" borderId="6" xfId="0" applyFont="1" applyFill="1" applyBorder="1" applyAlignment="1"/>
    <xf numFmtId="0" fontId="8" fillId="2" borderId="0" xfId="0" applyFont="1" applyFill="1" applyBorder="1" applyAlignment="1"/>
    <xf numFmtId="0" fontId="0" fillId="0" borderId="0" xfId="0" applyFont="1" applyBorder="1" applyAlignment="1"/>
    <xf numFmtId="0" fontId="0" fillId="0" borderId="4" xfId="0" applyFont="1" applyBorder="1" applyAlignment="1"/>
    <xf numFmtId="0" fontId="11" fillId="2" borderId="0" xfId="0" applyFont="1" applyFill="1" applyAlignment="1" applyProtection="1"/>
    <xf numFmtId="0" fontId="0" fillId="0" borderId="0" xfId="0" applyAlignment="1" applyProtection="1"/>
    <xf numFmtId="0" fontId="5" fillId="2" borderId="5" xfId="0" applyFont="1" applyFill="1" applyBorder="1" applyAlignment="1" applyProtection="1"/>
    <xf numFmtId="0" fontId="0" fillId="0" borderId="5" xfId="0" applyBorder="1" applyAlignment="1" applyProtection="1"/>
    <xf numFmtId="0" fontId="2" fillId="0" borderId="5" xfId="0" applyFont="1" applyFill="1" applyBorder="1" applyAlignment="1" applyProtection="1">
      <alignment horizontal="left"/>
    </xf>
    <xf numFmtId="0" fontId="43" fillId="2" borderId="0" xfId="0" applyFont="1" applyFill="1" applyBorder="1" applyAlignment="1" applyProtection="1"/>
    <xf numFmtId="0" fontId="43" fillId="2" borderId="4" xfId="0" applyFont="1" applyFill="1" applyBorder="1" applyAlignment="1" applyProtection="1"/>
    <xf numFmtId="0" fontId="5" fillId="6" borderId="0" xfId="0" applyFont="1" applyFill="1" applyBorder="1" applyAlignment="1" applyProtection="1"/>
    <xf numFmtId="0" fontId="5" fillId="6" borderId="4" xfId="0" applyFont="1" applyFill="1" applyBorder="1" applyAlignment="1" applyProtection="1"/>
    <xf numFmtId="0" fontId="43" fillId="2" borderId="5" xfId="0" applyFont="1" applyFill="1" applyBorder="1" applyAlignment="1" applyProtection="1"/>
    <xf numFmtId="0" fontId="43" fillId="2" borderId="6" xfId="0" applyFont="1" applyFill="1" applyBorder="1" applyAlignment="1" applyProtection="1"/>
    <xf numFmtId="0" fontId="0" fillId="0" borderId="0" xfId="0" applyFont="1" applyBorder="1" applyAlignment="1" applyProtection="1"/>
    <xf numFmtId="0" fontId="0" fillId="0" borderId="4" xfId="0" applyFont="1" applyBorder="1" applyAlignment="1" applyProtection="1"/>
    <xf numFmtId="0" fontId="6" fillId="6" borderId="0" xfId="0" applyFont="1" applyFill="1" applyBorder="1" applyAlignment="1" applyProtection="1"/>
    <xf numFmtId="0" fontId="6" fillId="6" borderId="4" xfId="0" applyFont="1" applyFill="1" applyBorder="1" applyAlignment="1" applyProtection="1"/>
    <xf numFmtId="0" fontId="6" fillId="2" borderId="0" xfId="0" applyFont="1" applyFill="1" applyBorder="1" applyAlignment="1" applyProtection="1"/>
    <xf numFmtId="0" fontId="6" fillId="2" borderId="4" xfId="0" applyFont="1" applyFill="1" applyBorder="1" applyAlignment="1" applyProtection="1"/>
    <xf numFmtId="0" fontId="39" fillId="2" borderId="0" xfId="0" applyFont="1" applyFill="1" applyAlignment="1" applyProtection="1"/>
    <xf numFmtId="0" fontId="5" fillId="6" borderId="0" xfId="0" applyFont="1" applyFill="1" applyBorder="1" applyAlignment="1"/>
    <xf numFmtId="0" fontId="5" fillId="6" borderId="4" xfId="0" applyFont="1" applyFill="1" applyBorder="1" applyAlignment="1"/>
    <xf numFmtId="0" fontId="43" fillId="6" borderId="0" xfId="0" applyFont="1" applyFill="1" applyBorder="1" applyAlignment="1" applyProtection="1"/>
    <xf numFmtId="0" fontId="43" fillId="6" borderId="4" xfId="0" applyFont="1" applyFill="1" applyBorder="1" applyAlignment="1" applyProtection="1"/>
    <xf numFmtId="0" fontId="5" fillId="2" borderId="7" xfId="0" applyFont="1" applyFill="1" applyBorder="1" applyAlignment="1" applyProtection="1">
      <alignment horizontal="center" vertical="center" wrapText="1"/>
    </xf>
    <xf numFmtId="0" fontId="0" fillId="0" borderId="16" xfId="0" applyBorder="1" applyAlignment="1">
      <alignment vertical="center"/>
    </xf>
    <xf numFmtId="0" fontId="5" fillId="2" borderId="8" xfId="0" applyFont="1" applyFill="1" applyBorder="1" applyAlignment="1" applyProtection="1">
      <alignment horizontal="left" vertical="center" wrapText="1"/>
    </xf>
    <xf numFmtId="0" fontId="0" fillId="0" borderId="16" xfId="0" applyBorder="1" applyAlignment="1">
      <alignment horizontal="left" vertical="center"/>
    </xf>
    <xf numFmtId="0" fontId="5" fillId="2" borderId="13" xfId="0" applyFont="1" applyFill="1" applyBorder="1" applyAlignment="1" applyProtection="1">
      <alignment horizontal="center" vertical="center" wrapText="1"/>
    </xf>
    <xf numFmtId="0" fontId="0" fillId="0" borderId="14" xfId="0" applyBorder="1" applyAlignment="1">
      <alignment vertical="center"/>
    </xf>
    <xf numFmtId="0" fontId="26" fillId="2" borderId="11" xfId="0" applyFont="1" applyFill="1" applyBorder="1" applyAlignment="1" applyProtection="1">
      <alignment horizontal="right" wrapText="1"/>
    </xf>
    <xf numFmtId="0" fontId="0" fillId="2" borderId="13" xfId="0" applyFill="1" applyBorder="1" applyAlignment="1" applyProtection="1">
      <alignment horizontal="right" wrapText="1"/>
    </xf>
    <xf numFmtId="0" fontId="0" fillId="2" borderId="14" xfId="0" applyFill="1" applyBorder="1" applyAlignment="1" applyProtection="1">
      <alignment horizontal="right" wrapText="1"/>
    </xf>
    <xf numFmtId="0" fontId="7" fillId="2" borderId="33" xfId="0" applyFont="1" applyFill="1" applyBorder="1" applyAlignment="1">
      <alignment horizontal="left" wrapText="1"/>
    </xf>
    <xf numFmtId="0" fontId="7" fillId="2" borderId="46" xfId="0" applyFont="1" applyFill="1" applyBorder="1" applyAlignment="1">
      <alignment horizontal="left" wrapText="1"/>
    </xf>
    <xf numFmtId="0" fontId="7" fillId="2" borderId="45" xfId="0" applyFont="1" applyFill="1" applyBorder="1" applyAlignment="1">
      <alignment horizontal="left" wrapText="1"/>
    </xf>
    <xf numFmtId="0" fontId="9" fillId="11" borderId="0" xfId="0" applyFont="1" applyFill="1" applyBorder="1" applyAlignment="1" applyProtection="1">
      <protection locked="0"/>
    </xf>
    <xf numFmtId="0" fontId="9" fillId="11" borderId="4" xfId="0" applyFont="1" applyFill="1" applyBorder="1" applyAlignment="1" applyProtection="1">
      <protection locked="0"/>
    </xf>
    <xf numFmtId="0" fontId="2" fillId="11" borderId="0" xfId="0" applyFont="1" applyFill="1" applyBorder="1" applyAlignment="1" applyProtection="1">
      <protection locked="0"/>
    </xf>
    <xf numFmtId="0" fontId="2" fillId="11" borderId="0" xfId="0" applyFont="1" applyFill="1" applyBorder="1" applyAlignment="1" applyProtection="1">
      <alignment wrapText="1"/>
      <protection locked="0"/>
    </xf>
    <xf numFmtId="0" fontId="2" fillId="11" borderId="4" xfId="0" applyFont="1" applyFill="1" applyBorder="1" applyAlignment="1" applyProtection="1">
      <alignment wrapText="1"/>
      <protection locked="0"/>
    </xf>
    <xf numFmtId="0" fontId="2" fillId="11" borderId="4" xfId="0" applyFont="1" applyFill="1" applyBorder="1" applyAlignment="1" applyProtection="1">
      <protection locked="0"/>
    </xf>
    <xf numFmtId="0" fontId="2" fillId="11" borderId="30" xfId="0" applyFont="1" applyFill="1" applyBorder="1" applyAlignment="1" applyProtection="1">
      <protection locked="0"/>
    </xf>
    <xf numFmtId="0" fontId="2" fillId="11" borderId="70" xfId="0" applyFont="1" applyFill="1" applyBorder="1" applyAlignment="1" applyProtection="1">
      <protection locked="0"/>
    </xf>
    <xf numFmtId="0" fontId="43" fillId="0" borderId="0" xfId="0" applyFont="1" applyFill="1" applyBorder="1" applyAlignment="1" applyProtection="1"/>
    <xf numFmtId="0" fontId="43" fillId="0" borderId="4" xfId="0" applyFont="1" applyFill="1" applyBorder="1" applyAlignment="1" applyProtection="1"/>
    <xf numFmtId="0" fontId="43" fillId="6" borderId="5" xfId="0" applyFont="1" applyFill="1" applyBorder="1" applyAlignment="1" applyProtection="1"/>
    <xf numFmtId="0" fontId="43" fillId="6" borderId="6" xfId="0" applyFont="1" applyFill="1" applyBorder="1" applyAlignment="1" applyProtection="1"/>
    <xf numFmtId="0" fontId="47" fillId="6" borderId="0" xfId="0" applyFont="1" applyFill="1" applyBorder="1" applyAlignment="1"/>
    <xf numFmtId="0" fontId="47" fillId="6" borderId="4" xfId="0" applyFont="1" applyFill="1" applyBorder="1" applyAlignment="1"/>
    <xf numFmtId="0" fontId="44" fillId="6" borderId="0" xfId="0" applyFont="1" applyFill="1" applyBorder="1" applyAlignment="1" applyProtection="1"/>
    <xf numFmtId="0" fontId="44" fillId="6" borderId="4" xfId="0" applyFont="1" applyFill="1" applyBorder="1" applyAlignment="1" applyProtection="1"/>
    <xf numFmtId="0" fontId="47" fillId="6" borderId="0" xfId="0" applyFont="1" applyFill="1" applyBorder="1" applyAlignment="1" applyProtection="1"/>
    <xf numFmtId="0" fontId="47" fillId="6" borderId="4" xfId="0" applyFont="1" applyFill="1" applyBorder="1" applyAlignment="1" applyProtection="1"/>
    <xf numFmtId="0" fontId="2" fillId="0" borderId="0" xfId="0" applyFont="1" applyFill="1" applyAlignment="1" applyProtection="1">
      <alignment wrapText="1"/>
    </xf>
    <xf numFmtId="0" fontId="0" fillId="0" borderId="0" xfId="0" applyFill="1" applyAlignment="1" applyProtection="1">
      <alignment wrapText="1"/>
    </xf>
    <xf numFmtId="0" fontId="9" fillId="2" borderId="1" xfId="0" applyFont="1" applyFill="1" applyBorder="1" applyAlignment="1" applyProtection="1"/>
    <xf numFmtId="0" fontId="9" fillId="2" borderId="2" xfId="0" applyFont="1" applyFill="1" applyBorder="1" applyAlignment="1" applyProtection="1"/>
    <xf numFmtId="0" fontId="9" fillId="2" borderId="0" xfId="0" applyFont="1" applyFill="1" applyBorder="1" applyAlignment="1" applyProtection="1"/>
    <xf numFmtId="0" fontId="9" fillId="2" borderId="4" xfId="0" applyFont="1" applyFill="1" applyBorder="1" applyAlignment="1" applyProtection="1"/>
    <xf numFmtId="0" fontId="2" fillId="2" borderId="0" xfId="0" applyFont="1" applyFill="1" applyBorder="1" applyAlignment="1" applyProtection="1"/>
    <xf numFmtId="0" fontId="2" fillId="2" borderId="121" xfId="0" applyFont="1" applyFill="1" applyBorder="1" applyAlignment="1" applyProtection="1"/>
    <xf numFmtId="0" fontId="9" fillId="2" borderId="121" xfId="0" applyFont="1" applyFill="1" applyBorder="1" applyAlignment="1" applyProtection="1"/>
    <xf numFmtId="0" fontId="9" fillId="2" borderId="126" xfId="0" applyFont="1" applyFill="1" applyBorder="1" applyAlignment="1" applyProtection="1"/>
    <xf numFmtId="0" fontId="9" fillId="2" borderId="5" xfId="0" applyFont="1" applyFill="1" applyBorder="1" applyAlignment="1" applyProtection="1"/>
    <xf numFmtId="0" fontId="0" fillId="0" borderId="6" xfId="0" applyBorder="1" applyAlignment="1" applyProtection="1"/>
    <xf numFmtId="0" fontId="2" fillId="2" borderId="5" xfId="0" applyFont="1" applyFill="1" applyBorder="1" applyAlignment="1" applyProtection="1"/>
    <xf numFmtId="0" fontId="2" fillId="2" borderId="1" xfId="0" applyFont="1" applyFill="1" applyBorder="1" applyAlignment="1" applyProtection="1"/>
    <xf numFmtId="0" fontId="9" fillId="2" borderId="6" xfId="0" applyFont="1" applyFill="1" applyBorder="1" applyAlignment="1" applyProtection="1"/>
    <xf numFmtId="0" fontId="2" fillId="2" borderId="67" xfId="0" applyFont="1" applyFill="1" applyBorder="1" applyAlignment="1" applyProtection="1"/>
    <xf numFmtId="0" fontId="9" fillId="2" borderId="67" xfId="0" applyFont="1" applyFill="1" applyBorder="1" applyAlignment="1" applyProtection="1"/>
    <xf numFmtId="0" fontId="9" fillId="2" borderId="72" xfId="0" applyFont="1" applyFill="1" applyBorder="1" applyAlignment="1" applyProtection="1"/>
    <xf numFmtId="0" fontId="2" fillId="2" borderId="30" xfId="0" applyFont="1" applyFill="1" applyBorder="1" applyAlignment="1" applyProtection="1"/>
    <xf numFmtId="0" fontId="9" fillId="2" borderId="30" xfId="0" applyFont="1" applyFill="1" applyBorder="1" applyAlignment="1" applyProtection="1"/>
    <xf numFmtId="0" fontId="9" fillId="2" borderId="70" xfId="0" applyFont="1" applyFill="1" applyBorder="1" applyAlignment="1" applyProtection="1"/>
    <xf numFmtId="49" fontId="7" fillId="2" borderId="5" xfId="0" applyNumberFormat="1" applyFont="1" applyFill="1" applyBorder="1" applyAlignment="1" applyProtection="1"/>
    <xf numFmtId="0" fontId="5" fillId="2" borderId="1" xfId="0" applyFont="1" applyFill="1" applyBorder="1" applyAlignment="1" applyProtection="1"/>
    <xf numFmtId="0" fontId="0" fillId="0" borderId="1" xfId="0" applyBorder="1" applyAlignment="1" applyProtection="1"/>
    <xf numFmtId="0" fontId="0" fillId="0" borderId="2" xfId="0" applyBorder="1" applyAlignment="1" applyProtection="1"/>
    <xf numFmtId="0" fontId="2" fillId="6" borderId="0" xfId="0" applyFont="1" applyFill="1" applyBorder="1" applyAlignment="1" applyProtection="1"/>
    <xf numFmtId="0" fontId="9" fillId="6" borderId="0" xfId="0" applyFont="1" applyFill="1" applyBorder="1" applyAlignment="1" applyProtection="1"/>
    <xf numFmtId="0" fontId="2" fillId="6" borderId="5" xfId="0" applyFont="1" applyFill="1" applyBorder="1" applyAlignment="1" applyProtection="1"/>
    <xf numFmtId="0" fontId="0" fillId="6" borderId="5" xfId="0" applyFill="1" applyBorder="1" applyAlignment="1" applyProtection="1"/>
    <xf numFmtId="0" fontId="0" fillId="6" borderId="6" xfId="0" applyFill="1" applyBorder="1" applyAlignment="1" applyProtection="1"/>
    <xf numFmtId="0" fontId="5" fillId="11" borderId="0" xfId="0" applyFont="1" applyFill="1" applyAlignment="1" applyProtection="1">
      <protection locked="0"/>
    </xf>
    <xf numFmtId="0" fontId="5" fillId="0" borderId="0" xfId="0" applyFont="1" applyFill="1" applyBorder="1" applyAlignment="1"/>
    <xf numFmtId="0" fontId="6" fillId="0" borderId="0" xfId="0" applyFont="1" applyFill="1" applyBorder="1" applyAlignment="1"/>
  </cellXfs>
  <cellStyles count="1558"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16" builtinId="9" hidden="1"/>
    <cellStyle name="Besuchter Hyperlink" xfId="18" builtinId="9" hidden="1"/>
    <cellStyle name="Besuchter Hyperlink" xfId="20" builtinId="9" hidden="1"/>
    <cellStyle name="Besuchter Hyperlink" xfId="22" builtinId="9" hidden="1"/>
    <cellStyle name="Besuchter Hyperlink" xfId="24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32" builtinId="9" hidden="1"/>
    <cellStyle name="Besuchter Hyperlink" xfId="34" builtinId="9" hidden="1"/>
    <cellStyle name="Besuchter Hyperlink" xfId="36" builtinId="9" hidden="1"/>
    <cellStyle name="Besuchter Hyperlink" xfId="38" builtinId="9" hidden="1"/>
    <cellStyle name="Besuchter Hyperlink" xfId="40" builtinId="9" hidden="1"/>
    <cellStyle name="Besuchter Hyperlink" xfId="42" builtinId="9" hidden="1"/>
    <cellStyle name="Besuchter Hyperlink" xfId="44" builtinId="9" hidden="1"/>
    <cellStyle name="Besuchter Hyperlink" xfId="46" builtinId="9" hidden="1"/>
    <cellStyle name="Besuchter Hyperlink" xfId="48" builtinId="9" hidden="1"/>
    <cellStyle name="Besuchter Hyperlink" xfId="50" builtinId="9" hidden="1"/>
    <cellStyle name="Besuchter Hyperlink" xfId="52" builtinId="9" hidden="1"/>
    <cellStyle name="Besuchter Hyperlink" xfId="54" builtinId="9" hidden="1"/>
    <cellStyle name="Besuchter Hyperlink" xfId="56" builtinId="9" hidden="1"/>
    <cellStyle name="Besuchter Hyperlink" xfId="58" builtinId="9" hidden="1"/>
    <cellStyle name="Besuchter Hyperlink" xfId="60" builtinId="9" hidden="1"/>
    <cellStyle name="Besuchter Hyperlink" xfId="62" builtinId="9" hidden="1"/>
    <cellStyle name="Besuchter Hyperlink" xfId="64" builtinId="9" hidden="1"/>
    <cellStyle name="Besuchter Hyperlink" xfId="66" builtinId="9" hidden="1"/>
    <cellStyle name="Besuchter Hyperlink" xfId="68" builtinId="9" hidden="1"/>
    <cellStyle name="Besuchter Hyperlink" xfId="70" builtinId="9" hidden="1"/>
    <cellStyle name="Besuchter Hyperlink" xfId="72" builtinId="9" hidden="1"/>
    <cellStyle name="Besuchter Hyperlink" xfId="74" builtinId="9" hidden="1"/>
    <cellStyle name="Besuchter Hyperlink" xfId="76" builtinId="9" hidden="1"/>
    <cellStyle name="Besuchter Hyperlink" xfId="78" builtinId="9" hidden="1"/>
    <cellStyle name="Besuchter Hyperlink" xfId="80" builtinId="9" hidden="1"/>
    <cellStyle name="Besuchter Hyperlink" xfId="82" builtinId="9" hidden="1"/>
    <cellStyle name="Besuchter Hyperlink" xfId="84" builtinId="9" hidden="1"/>
    <cellStyle name="Besuchter Hyperlink" xfId="86" builtinId="9" hidden="1"/>
    <cellStyle name="Besuchter Hyperlink" xfId="88" builtinId="9" hidden="1"/>
    <cellStyle name="Besuchter Hyperlink" xfId="90" builtinId="9" hidden="1"/>
    <cellStyle name="Besuchter Hyperlink" xfId="92" builtinId="9" hidden="1"/>
    <cellStyle name="Besuchter Hyperlink" xfId="94" builtinId="9" hidden="1"/>
    <cellStyle name="Besuchter Hyperlink" xfId="96" builtinId="9" hidden="1"/>
    <cellStyle name="Besuchter Hyperlink" xfId="98" builtinId="9" hidden="1"/>
    <cellStyle name="Besuchter Hyperlink" xfId="100" builtinId="9" hidden="1"/>
    <cellStyle name="Besuchter Hyperlink" xfId="102" builtinId="9" hidden="1"/>
    <cellStyle name="Besuchter Hyperlink" xfId="104" builtinId="9" hidden="1"/>
    <cellStyle name="Besuchter Hyperlink" xfId="106" builtinId="9" hidden="1"/>
    <cellStyle name="Besuchter Hyperlink" xfId="108" builtinId="9" hidden="1"/>
    <cellStyle name="Besuchter Hyperlink" xfId="110" builtinId="9" hidden="1"/>
    <cellStyle name="Besuchter Hyperlink" xfId="112" builtinId="9" hidden="1"/>
    <cellStyle name="Besuchter Hyperlink" xfId="114" builtinId="9" hidden="1"/>
    <cellStyle name="Besuchter Hyperlink" xfId="116" builtinId="9" hidden="1"/>
    <cellStyle name="Besuchter Hyperlink" xfId="118" builtinId="9" hidden="1"/>
    <cellStyle name="Besuchter Hyperlink" xfId="120" builtinId="9" hidden="1"/>
    <cellStyle name="Besuchter Hyperlink" xfId="122" builtinId="9" hidden="1"/>
    <cellStyle name="Besuchter Hyperlink" xfId="124" builtinId="9" hidden="1"/>
    <cellStyle name="Besuchter Hyperlink" xfId="126" builtinId="9" hidden="1"/>
    <cellStyle name="Besuchter Hyperlink" xfId="128" builtinId="9" hidden="1"/>
    <cellStyle name="Besuchter Hyperlink" xfId="130" builtinId="9" hidden="1"/>
    <cellStyle name="Besuchter Hyperlink" xfId="132" builtinId="9" hidden="1"/>
    <cellStyle name="Besuchter Hyperlink" xfId="134" builtinId="9" hidden="1"/>
    <cellStyle name="Besuchter Hyperlink" xfId="136" builtinId="9" hidden="1"/>
    <cellStyle name="Besuchter Hyperlink" xfId="138" builtinId="9" hidden="1"/>
    <cellStyle name="Besuchter Hyperlink" xfId="140" builtinId="9" hidden="1"/>
    <cellStyle name="Besuchter Hyperlink" xfId="142" builtinId="9" hidden="1"/>
    <cellStyle name="Besuchter Hyperlink" xfId="144" builtinId="9" hidden="1"/>
    <cellStyle name="Besuchter Hyperlink" xfId="146" builtinId="9" hidden="1"/>
    <cellStyle name="Besuchter Hyperlink" xfId="148" builtinId="9" hidden="1"/>
    <cellStyle name="Besuchter Hyperlink" xfId="150" builtinId="9" hidden="1"/>
    <cellStyle name="Besuchter Hyperlink" xfId="152" builtinId="9" hidden="1"/>
    <cellStyle name="Besuchter Hyperlink" xfId="154" builtinId="9" hidden="1"/>
    <cellStyle name="Besuchter Hyperlink" xfId="156" builtinId="9" hidden="1"/>
    <cellStyle name="Besuchter Hyperlink" xfId="158" builtinId="9" hidden="1"/>
    <cellStyle name="Besuchter Hyperlink" xfId="160" builtinId="9" hidden="1"/>
    <cellStyle name="Besuchter Hyperlink" xfId="162" builtinId="9" hidden="1"/>
    <cellStyle name="Besuchter Hyperlink" xfId="164" builtinId="9" hidden="1"/>
    <cellStyle name="Besuchter Hyperlink" xfId="166" builtinId="9" hidden="1"/>
    <cellStyle name="Besuchter Hyperlink" xfId="168" builtinId="9" hidden="1"/>
    <cellStyle name="Besuchter Hyperlink" xfId="170" builtinId="9" hidden="1"/>
    <cellStyle name="Besuchter Hyperlink" xfId="172" builtinId="9" hidden="1"/>
    <cellStyle name="Besuchter Hyperlink" xfId="174" builtinId="9" hidden="1"/>
    <cellStyle name="Besuchter Hyperlink" xfId="176" builtinId="9" hidden="1"/>
    <cellStyle name="Besuchter Hyperlink" xfId="178" builtinId="9" hidden="1"/>
    <cellStyle name="Besuchter Hyperlink" xfId="180" builtinId="9" hidden="1"/>
    <cellStyle name="Besuchter Hyperlink" xfId="182" builtinId="9" hidden="1"/>
    <cellStyle name="Besuchter Hyperlink" xfId="184" builtinId="9" hidden="1"/>
    <cellStyle name="Besuchter Hyperlink" xfId="186" builtinId="9" hidden="1"/>
    <cellStyle name="Besuchter Hyperlink" xfId="188" builtinId="9" hidden="1"/>
    <cellStyle name="Besuchter Hyperlink" xfId="190" builtinId="9" hidden="1"/>
    <cellStyle name="Besuchter Hyperlink" xfId="192" builtinId="9" hidden="1"/>
    <cellStyle name="Besuchter Hyperlink" xfId="194" builtinId="9" hidden="1"/>
    <cellStyle name="Besuchter Hyperlink" xfId="196" builtinId="9" hidden="1"/>
    <cellStyle name="Besuchter Hyperlink" xfId="198" builtinId="9" hidden="1"/>
    <cellStyle name="Besuchter Hyperlink" xfId="200" builtinId="9" hidden="1"/>
    <cellStyle name="Besuchter Hyperlink" xfId="202" builtinId="9" hidden="1"/>
    <cellStyle name="Besuchter Hyperlink" xfId="204" builtinId="9" hidden="1"/>
    <cellStyle name="Besuchter Hyperlink" xfId="206" builtinId="9" hidden="1"/>
    <cellStyle name="Besuchter Hyperlink" xfId="208" builtinId="9" hidden="1"/>
    <cellStyle name="Besuchter Hyperlink" xfId="210" builtinId="9" hidden="1"/>
    <cellStyle name="Besuchter Hyperlink" xfId="212" builtinId="9" hidden="1"/>
    <cellStyle name="Besuchter Hyperlink" xfId="214" builtinId="9" hidden="1"/>
    <cellStyle name="Besuchter Hyperlink" xfId="216" builtinId="9" hidden="1"/>
    <cellStyle name="Besuchter Hyperlink" xfId="218" builtinId="9" hidden="1"/>
    <cellStyle name="Besuchter Hyperlink" xfId="220" builtinId="9" hidden="1"/>
    <cellStyle name="Besuchter Hyperlink" xfId="222" builtinId="9" hidden="1"/>
    <cellStyle name="Besuchter Hyperlink" xfId="224" builtinId="9" hidden="1"/>
    <cellStyle name="Besuchter Hyperlink" xfId="226" builtinId="9" hidden="1"/>
    <cellStyle name="Besuchter Hyperlink" xfId="228" builtinId="9" hidden="1"/>
    <cellStyle name="Besuchter Hyperlink" xfId="230" builtinId="9" hidden="1"/>
    <cellStyle name="Besuchter Hyperlink" xfId="232" builtinId="9" hidden="1"/>
    <cellStyle name="Besuchter Hyperlink" xfId="234" builtinId="9" hidden="1"/>
    <cellStyle name="Besuchter Hyperlink" xfId="236" builtinId="9" hidden="1"/>
    <cellStyle name="Besuchter Hyperlink" xfId="238" builtinId="9" hidden="1"/>
    <cellStyle name="Besuchter Hyperlink" xfId="240" builtinId="9" hidden="1"/>
    <cellStyle name="Besuchter Hyperlink" xfId="242" builtinId="9" hidden="1"/>
    <cellStyle name="Besuchter Hyperlink" xfId="244" builtinId="9" hidden="1"/>
    <cellStyle name="Besuchter Hyperlink" xfId="246" builtinId="9" hidden="1"/>
    <cellStyle name="Besuchter Hyperlink" xfId="248" builtinId="9" hidden="1"/>
    <cellStyle name="Besuchter Hyperlink" xfId="250" builtinId="9" hidden="1"/>
    <cellStyle name="Besuchter Hyperlink" xfId="252" builtinId="9" hidden="1"/>
    <cellStyle name="Besuchter Hyperlink" xfId="254" builtinId="9" hidden="1"/>
    <cellStyle name="Besuchter Hyperlink" xfId="256" builtinId="9" hidden="1"/>
    <cellStyle name="Besuchter Hyperlink" xfId="258" builtinId="9" hidden="1"/>
    <cellStyle name="Besuchter Hyperlink" xfId="260" builtinId="9" hidden="1"/>
    <cellStyle name="Besuchter Hyperlink" xfId="262" builtinId="9" hidden="1"/>
    <cellStyle name="Besuchter Hyperlink" xfId="264" builtinId="9" hidden="1"/>
    <cellStyle name="Besuchter Hyperlink" xfId="266" builtinId="9" hidden="1"/>
    <cellStyle name="Besuchter Hyperlink" xfId="268" builtinId="9" hidden="1"/>
    <cellStyle name="Besuchter Hyperlink" xfId="270" builtinId="9" hidden="1"/>
    <cellStyle name="Besuchter Hyperlink" xfId="272" builtinId="9" hidden="1"/>
    <cellStyle name="Besuchter Hyperlink" xfId="274" builtinId="9" hidden="1"/>
    <cellStyle name="Besuchter Hyperlink" xfId="276" builtinId="9" hidden="1"/>
    <cellStyle name="Besuchter Hyperlink" xfId="278" builtinId="9" hidden="1"/>
    <cellStyle name="Besuchter Hyperlink" xfId="280" builtinId="9" hidden="1"/>
    <cellStyle name="Besuchter Hyperlink" xfId="282" builtinId="9" hidden="1"/>
    <cellStyle name="Besuchter Hyperlink" xfId="284" builtinId="9" hidden="1"/>
    <cellStyle name="Besuchter Hyperlink" xfId="286" builtinId="9" hidden="1"/>
    <cellStyle name="Besuchter Hyperlink" xfId="288" builtinId="9" hidden="1"/>
    <cellStyle name="Besuchter Hyperlink" xfId="290" builtinId="9" hidden="1"/>
    <cellStyle name="Besuchter Hyperlink" xfId="292" builtinId="9" hidden="1"/>
    <cellStyle name="Besuchter Hyperlink" xfId="294" builtinId="9" hidden="1"/>
    <cellStyle name="Besuchter Hyperlink" xfId="296" builtinId="9" hidden="1"/>
    <cellStyle name="Besuchter Hyperlink" xfId="298" builtinId="9" hidden="1"/>
    <cellStyle name="Besuchter Hyperlink" xfId="300" builtinId="9" hidden="1"/>
    <cellStyle name="Besuchter Hyperlink" xfId="302" builtinId="9" hidden="1"/>
    <cellStyle name="Besuchter Hyperlink" xfId="304" builtinId="9" hidden="1"/>
    <cellStyle name="Besuchter Hyperlink" xfId="306" builtinId="9" hidden="1"/>
    <cellStyle name="Besuchter Hyperlink" xfId="308" builtinId="9" hidden="1"/>
    <cellStyle name="Besuchter Hyperlink" xfId="310" builtinId="9" hidden="1"/>
    <cellStyle name="Besuchter Hyperlink" xfId="312" builtinId="9" hidden="1"/>
    <cellStyle name="Besuchter Hyperlink" xfId="314" builtinId="9" hidden="1"/>
    <cellStyle name="Besuchter Hyperlink" xfId="316" builtinId="9" hidden="1"/>
    <cellStyle name="Besuchter Hyperlink" xfId="318" builtinId="9" hidden="1"/>
    <cellStyle name="Besuchter Hyperlink" xfId="320" builtinId="9" hidden="1"/>
    <cellStyle name="Besuchter Hyperlink" xfId="322" builtinId="9" hidden="1"/>
    <cellStyle name="Besuchter Hyperlink" xfId="324" builtinId="9" hidden="1"/>
    <cellStyle name="Besuchter Hyperlink" xfId="326" builtinId="9" hidden="1"/>
    <cellStyle name="Besuchter Hyperlink" xfId="328" builtinId="9" hidden="1"/>
    <cellStyle name="Besuchter Hyperlink" xfId="330" builtinId="9" hidden="1"/>
    <cellStyle name="Besuchter Hyperlink" xfId="332" builtinId="9" hidden="1"/>
    <cellStyle name="Besuchter Hyperlink" xfId="334" builtinId="9" hidden="1"/>
    <cellStyle name="Besuchter Hyperlink" xfId="336" builtinId="9" hidden="1"/>
    <cellStyle name="Besuchter Hyperlink" xfId="338" builtinId="9" hidden="1"/>
    <cellStyle name="Besuchter Hyperlink" xfId="340" builtinId="9" hidden="1"/>
    <cellStyle name="Besuchter Hyperlink" xfId="342" builtinId="9" hidden="1"/>
    <cellStyle name="Besuchter Hyperlink" xfId="344" builtinId="9" hidden="1"/>
    <cellStyle name="Besuchter Hyperlink" xfId="346" builtinId="9" hidden="1"/>
    <cellStyle name="Besuchter Hyperlink" xfId="348" builtinId="9" hidden="1"/>
    <cellStyle name="Besuchter Hyperlink" xfId="350" builtinId="9" hidden="1"/>
    <cellStyle name="Besuchter Hyperlink" xfId="352" builtinId="9" hidden="1"/>
    <cellStyle name="Besuchter Hyperlink" xfId="354" builtinId="9" hidden="1"/>
    <cellStyle name="Besuchter Hyperlink" xfId="356" builtinId="9" hidden="1"/>
    <cellStyle name="Besuchter Hyperlink" xfId="358" builtinId="9" hidden="1"/>
    <cellStyle name="Besuchter Hyperlink" xfId="360" builtinId="9" hidden="1"/>
    <cellStyle name="Besuchter Hyperlink" xfId="362" builtinId="9" hidden="1"/>
    <cellStyle name="Besuchter Hyperlink" xfId="364" builtinId="9" hidden="1"/>
    <cellStyle name="Besuchter Hyperlink" xfId="366" builtinId="9" hidden="1"/>
    <cellStyle name="Besuchter Hyperlink" xfId="368" builtinId="9" hidden="1"/>
    <cellStyle name="Besuchter Hyperlink" xfId="370" builtinId="9" hidden="1"/>
    <cellStyle name="Besuchter Hyperlink" xfId="372" builtinId="9" hidden="1"/>
    <cellStyle name="Besuchter Hyperlink" xfId="374" builtinId="9" hidden="1"/>
    <cellStyle name="Besuchter Hyperlink" xfId="376" builtinId="9" hidden="1"/>
    <cellStyle name="Besuchter Hyperlink" xfId="378" builtinId="9" hidden="1"/>
    <cellStyle name="Besuchter Hyperlink" xfId="380" builtinId="9" hidden="1"/>
    <cellStyle name="Besuchter Hyperlink" xfId="382" builtinId="9" hidden="1"/>
    <cellStyle name="Besuchter Hyperlink" xfId="384" builtinId="9" hidden="1"/>
    <cellStyle name="Besuchter Hyperlink" xfId="386" builtinId="9" hidden="1"/>
    <cellStyle name="Besuchter Hyperlink" xfId="388" builtinId="9" hidden="1"/>
    <cellStyle name="Besuchter Hyperlink" xfId="390" builtinId="9" hidden="1"/>
    <cellStyle name="Besuchter Hyperlink" xfId="392" builtinId="9" hidden="1"/>
    <cellStyle name="Besuchter Hyperlink" xfId="394" builtinId="9" hidden="1"/>
    <cellStyle name="Besuchter Hyperlink" xfId="396" builtinId="9" hidden="1"/>
    <cellStyle name="Besuchter Hyperlink" xfId="398" builtinId="9" hidden="1"/>
    <cellStyle name="Besuchter Hyperlink" xfId="400" builtinId="9" hidden="1"/>
    <cellStyle name="Besuchter Hyperlink" xfId="402" builtinId="9" hidden="1"/>
    <cellStyle name="Besuchter Hyperlink" xfId="404" builtinId="9" hidden="1"/>
    <cellStyle name="Besuchter Hyperlink" xfId="406" builtinId="9" hidden="1"/>
    <cellStyle name="Besuchter Hyperlink" xfId="408" builtinId="9" hidden="1"/>
    <cellStyle name="Besuchter Hyperlink" xfId="410" builtinId="9" hidden="1"/>
    <cellStyle name="Besuchter Hyperlink" xfId="412" builtinId="9" hidden="1"/>
    <cellStyle name="Besuchter Hyperlink" xfId="414" builtinId="9" hidden="1"/>
    <cellStyle name="Besuchter Hyperlink" xfId="416" builtinId="9" hidden="1"/>
    <cellStyle name="Besuchter Hyperlink" xfId="418" builtinId="9" hidden="1"/>
    <cellStyle name="Besuchter Hyperlink" xfId="420" builtinId="9" hidden="1"/>
    <cellStyle name="Besuchter Hyperlink" xfId="422" builtinId="9" hidden="1"/>
    <cellStyle name="Besuchter Hyperlink" xfId="424" builtinId="9" hidden="1"/>
    <cellStyle name="Besuchter Hyperlink" xfId="426" builtinId="9" hidden="1"/>
    <cellStyle name="Besuchter Hyperlink" xfId="428" builtinId="9" hidden="1"/>
    <cellStyle name="Besuchter Hyperlink" xfId="430" builtinId="9" hidden="1"/>
    <cellStyle name="Besuchter Hyperlink" xfId="432" builtinId="9" hidden="1"/>
    <cellStyle name="Besuchter Hyperlink" xfId="434" builtinId="9" hidden="1"/>
    <cellStyle name="Besuchter Hyperlink" xfId="436" builtinId="9" hidden="1"/>
    <cellStyle name="Besuchter Hyperlink" xfId="438" builtinId="9" hidden="1"/>
    <cellStyle name="Besuchter Hyperlink" xfId="440" builtinId="9" hidden="1"/>
    <cellStyle name="Besuchter Hyperlink" xfId="442" builtinId="9" hidden="1"/>
    <cellStyle name="Besuchter Hyperlink" xfId="444" builtinId="9" hidden="1"/>
    <cellStyle name="Besuchter Hyperlink" xfId="446" builtinId="9" hidden="1"/>
    <cellStyle name="Besuchter Hyperlink" xfId="448" builtinId="9" hidden="1"/>
    <cellStyle name="Besuchter Hyperlink" xfId="450" builtinId="9" hidden="1"/>
    <cellStyle name="Besuchter Hyperlink" xfId="452" builtinId="9" hidden="1"/>
    <cellStyle name="Besuchter Hyperlink" xfId="454" builtinId="9" hidden="1"/>
    <cellStyle name="Besuchter Hyperlink" xfId="456" builtinId="9" hidden="1"/>
    <cellStyle name="Besuchter Hyperlink" xfId="458" builtinId="9" hidden="1"/>
    <cellStyle name="Besuchter Hyperlink" xfId="460" builtinId="9" hidden="1"/>
    <cellStyle name="Besuchter Hyperlink" xfId="462" builtinId="9" hidden="1"/>
    <cellStyle name="Besuchter Hyperlink" xfId="464" builtinId="9" hidden="1"/>
    <cellStyle name="Besuchter Hyperlink" xfId="466" builtinId="9" hidden="1"/>
    <cellStyle name="Besuchter Hyperlink" xfId="468" builtinId="9" hidden="1"/>
    <cellStyle name="Besuchter Hyperlink" xfId="470" builtinId="9" hidden="1"/>
    <cellStyle name="Besuchter Hyperlink" xfId="472" builtinId="9" hidden="1"/>
    <cellStyle name="Besuchter Hyperlink" xfId="474" builtinId="9" hidden="1"/>
    <cellStyle name="Besuchter Hyperlink" xfId="476" builtinId="9" hidden="1"/>
    <cellStyle name="Besuchter Hyperlink" xfId="478" builtinId="9" hidden="1"/>
    <cellStyle name="Besuchter Hyperlink" xfId="480" builtinId="9" hidden="1"/>
    <cellStyle name="Besuchter Hyperlink" xfId="482" builtinId="9" hidden="1"/>
    <cellStyle name="Besuchter Hyperlink" xfId="484" builtinId="9" hidden="1"/>
    <cellStyle name="Besuchter Hyperlink" xfId="486" builtinId="9" hidden="1"/>
    <cellStyle name="Besuchter Hyperlink" xfId="488" builtinId="9" hidden="1"/>
    <cellStyle name="Besuchter Hyperlink" xfId="490" builtinId="9" hidden="1"/>
    <cellStyle name="Besuchter Hyperlink" xfId="492" builtinId="9" hidden="1"/>
    <cellStyle name="Besuchter Hyperlink" xfId="494" builtinId="9" hidden="1"/>
    <cellStyle name="Besuchter Hyperlink" xfId="496" builtinId="9" hidden="1"/>
    <cellStyle name="Besuchter Hyperlink" xfId="498" builtinId="9" hidden="1"/>
    <cellStyle name="Besuchter Hyperlink" xfId="500" builtinId="9" hidden="1"/>
    <cellStyle name="Besuchter Hyperlink" xfId="502" builtinId="9" hidden="1"/>
    <cellStyle name="Besuchter Hyperlink" xfId="504" builtinId="9" hidden="1"/>
    <cellStyle name="Besuchter Hyperlink" xfId="506" builtinId="9" hidden="1"/>
    <cellStyle name="Besuchter Hyperlink" xfId="508" builtinId="9" hidden="1"/>
    <cellStyle name="Besuchter Hyperlink" xfId="510" builtinId="9" hidden="1"/>
    <cellStyle name="Besuchter Hyperlink" xfId="512" builtinId="9" hidden="1"/>
    <cellStyle name="Besuchter Hyperlink" xfId="514" builtinId="9" hidden="1"/>
    <cellStyle name="Besuchter Hyperlink" xfId="516" builtinId="9" hidden="1"/>
    <cellStyle name="Besuchter Hyperlink" xfId="518" builtinId="9" hidden="1"/>
    <cellStyle name="Besuchter Hyperlink" xfId="520" builtinId="9" hidden="1"/>
    <cellStyle name="Besuchter Hyperlink" xfId="522" builtinId="9" hidden="1"/>
    <cellStyle name="Besuchter Hyperlink" xfId="524" builtinId="9" hidden="1"/>
    <cellStyle name="Besuchter Hyperlink" xfId="526" builtinId="9" hidden="1"/>
    <cellStyle name="Besuchter Hyperlink" xfId="528" builtinId="9" hidden="1"/>
    <cellStyle name="Besuchter Hyperlink" xfId="530" builtinId="9" hidden="1"/>
    <cellStyle name="Besuchter Hyperlink" xfId="532" builtinId="9" hidden="1"/>
    <cellStyle name="Besuchter Hyperlink" xfId="534" builtinId="9" hidden="1"/>
    <cellStyle name="Besuchter Hyperlink" xfId="536" builtinId="9" hidden="1"/>
    <cellStyle name="Besuchter Hyperlink" xfId="538" builtinId="9" hidden="1"/>
    <cellStyle name="Besuchter Hyperlink" xfId="540" builtinId="9" hidden="1"/>
    <cellStyle name="Besuchter Hyperlink" xfId="542" builtinId="9" hidden="1"/>
    <cellStyle name="Besuchter Hyperlink" xfId="544" builtinId="9" hidden="1"/>
    <cellStyle name="Besuchter Hyperlink" xfId="546" builtinId="9" hidden="1"/>
    <cellStyle name="Besuchter Hyperlink" xfId="548" builtinId="9" hidden="1"/>
    <cellStyle name="Besuchter Hyperlink" xfId="550" builtinId="9" hidden="1"/>
    <cellStyle name="Besuchter Hyperlink" xfId="552" builtinId="9" hidden="1"/>
    <cellStyle name="Besuchter Hyperlink" xfId="554" builtinId="9" hidden="1"/>
    <cellStyle name="Besuchter Hyperlink" xfId="556" builtinId="9" hidden="1"/>
    <cellStyle name="Besuchter Hyperlink" xfId="558" builtinId="9" hidden="1"/>
    <cellStyle name="Besuchter Hyperlink" xfId="560" builtinId="9" hidden="1"/>
    <cellStyle name="Besuchter Hyperlink" xfId="562" builtinId="9" hidden="1"/>
    <cellStyle name="Besuchter Hyperlink" xfId="564" builtinId="9" hidden="1"/>
    <cellStyle name="Besuchter Hyperlink" xfId="566" builtinId="9" hidden="1"/>
    <cellStyle name="Besuchter Hyperlink" xfId="568" builtinId="9" hidden="1"/>
    <cellStyle name="Besuchter Hyperlink" xfId="570" builtinId="9" hidden="1"/>
    <cellStyle name="Besuchter Hyperlink" xfId="572" builtinId="9" hidden="1"/>
    <cellStyle name="Besuchter Hyperlink" xfId="574" builtinId="9" hidden="1"/>
    <cellStyle name="Besuchter Hyperlink" xfId="576" builtinId="9" hidden="1"/>
    <cellStyle name="Besuchter Hyperlink" xfId="578" builtinId="9" hidden="1"/>
    <cellStyle name="Besuchter Hyperlink" xfId="580" builtinId="9" hidden="1"/>
    <cellStyle name="Besuchter Hyperlink" xfId="582" builtinId="9" hidden="1"/>
    <cellStyle name="Besuchter Hyperlink" xfId="584" builtinId="9" hidden="1"/>
    <cellStyle name="Besuchter Hyperlink" xfId="586" builtinId="9" hidden="1"/>
    <cellStyle name="Besuchter Hyperlink" xfId="588" builtinId="9" hidden="1"/>
    <cellStyle name="Besuchter Hyperlink" xfId="590" builtinId="9" hidden="1"/>
    <cellStyle name="Besuchter Hyperlink" xfId="592" builtinId="9" hidden="1"/>
    <cellStyle name="Besuchter Hyperlink" xfId="594" builtinId="9" hidden="1"/>
    <cellStyle name="Besuchter Hyperlink" xfId="596" builtinId="9" hidden="1"/>
    <cellStyle name="Besuchter Hyperlink" xfId="598" builtinId="9" hidden="1"/>
    <cellStyle name="Besuchter Hyperlink" xfId="600" builtinId="9" hidden="1"/>
    <cellStyle name="Besuchter Hyperlink" xfId="602" builtinId="9" hidden="1"/>
    <cellStyle name="Besuchter Hyperlink" xfId="604" builtinId="9" hidden="1"/>
    <cellStyle name="Besuchter Hyperlink" xfId="606" builtinId="9" hidden="1"/>
    <cellStyle name="Besuchter Hyperlink" xfId="608" builtinId="9" hidden="1"/>
    <cellStyle name="Besuchter Hyperlink" xfId="610" builtinId="9" hidden="1"/>
    <cellStyle name="Besuchter Hyperlink" xfId="612" builtinId="9" hidden="1"/>
    <cellStyle name="Besuchter Hyperlink" xfId="614" builtinId="9" hidden="1"/>
    <cellStyle name="Besuchter Hyperlink" xfId="616" builtinId="9" hidden="1"/>
    <cellStyle name="Besuchter Hyperlink" xfId="618" builtinId="9" hidden="1"/>
    <cellStyle name="Besuchter Hyperlink" xfId="620" builtinId="9" hidden="1"/>
    <cellStyle name="Besuchter Hyperlink" xfId="622" builtinId="9" hidden="1"/>
    <cellStyle name="Besuchter Hyperlink" xfId="624" builtinId="9" hidden="1"/>
    <cellStyle name="Besuchter Hyperlink" xfId="626" builtinId="9" hidden="1"/>
    <cellStyle name="Besuchter Hyperlink" xfId="628" builtinId="9" hidden="1"/>
    <cellStyle name="Besuchter Hyperlink" xfId="630" builtinId="9" hidden="1"/>
    <cellStyle name="Besuchter Hyperlink" xfId="632" builtinId="9" hidden="1"/>
    <cellStyle name="Besuchter Hyperlink" xfId="634" builtinId="9" hidden="1"/>
    <cellStyle name="Besuchter Hyperlink" xfId="636" builtinId="9" hidden="1"/>
    <cellStyle name="Besuchter Hyperlink" xfId="638" builtinId="9" hidden="1"/>
    <cellStyle name="Besuchter Hyperlink" xfId="640" builtinId="9" hidden="1"/>
    <cellStyle name="Besuchter Hyperlink" xfId="642" builtinId="9" hidden="1"/>
    <cellStyle name="Besuchter Hyperlink" xfId="644" builtinId="9" hidden="1"/>
    <cellStyle name="Besuchter Hyperlink" xfId="646" builtinId="9" hidden="1"/>
    <cellStyle name="Besuchter Hyperlink" xfId="648" builtinId="9" hidden="1"/>
    <cellStyle name="Besuchter Hyperlink" xfId="650" builtinId="9" hidden="1"/>
    <cellStyle name="Besuchter Hyperlink" xfId="652" builtinId="9" hidden="1"/>
    <cellStyle name="Besuchter Hyperlink" xfId="654" builtinId="9" hidden="1"/>
    <cellStyle name="Besuchter Hyperlink" xfId="656" builtinId="9" hidden="1"/>
    <cellStyle name="Besuchter Hyperlink" xfId="658" builtinId="9" hidden="1"/>
    <cellStyle name="Besuchter Hyperlink" xfId="660" builtinId="9" hidden="1"/>
    <cellStyle name="Besuchter Hyperlink" xfId="662" builtinId="9" hidden="1"/>
    <cellStyle name="Besuchter Hyperlink" xfId="664" builtinId="9" hidden="1"/>
    <cellStyle name="Besuchter Hyperlink" xfId="666" builtinId="9" hidden="1"/>
    <cellStyle name="Besuchter Hyperlink" xfId="668" builtinId="9" hidden="1"/>
    <cellStyle name="Besuchter Hyperlink" xfId="670" builtinId="9" hidden="1"/>
    <cellStyle name="Besuchter Hyperlink" xfId="672" builtinId="9" hidden="1"/>
    <cellStyle name="Besuchter Hyperlink" xfId="674" builtinId="9" hidden="1"/>
    <cellStyle name="Besuchter Hyperlink" xfId="676" builtinId="9" hidden="1"/>
    <cellStyle name="Besuchter Hyperlink" xfId="678" builtinId="9" hidden="1"/>
    <cellStyle name="Besuchter Hyperlink" xfId="680" builtinId="9" hidden="1"/>
    <cellStyle name="Besuchter Hyperlink" xfId="682" builtinId="9" hidden="1"/>
    <cellStyle name="Besuchter Hyperlink" xfId="684" builtinId="9" hidden="1"/>
    <cellStyle name="Besuchter Hyperlink" xfId="686" builtinId="9" hidden="1"/>
    <cellStyle name="Besuchter Hyperlink" xfId="688" builtinId="9" hidden="1"/>
    <cellStyle name="Besuchter Hyperlink" xfId="690" builtinId="9" hidden="1"/>
    <cellStyle name="Besuchter Hyperlink" xfId="692" builtinId="9" hidden="1"/>
    <cellStyle name="Besuchter Hyperlink" xfId="694" builtinId="9" hidden="1"/>
    <cellStyle name="Besuchter Hyperlink" xfId="696" builtinId="9" hidden="1"/>
    <cellStyle name="Besuchter Hyperlink" xfId="698" builtinId="9" hidden="1"/>
    <cellStyle name="Besuchter Hyperlink" xfId="700" builtinId="9" hidden="1"/>
    <cellStyle name="Besuchter Hyperlink" xfId="702" builtinId="9" hidden="1"/>
    <cellStyle name="Besuchter Hyperlink" xfId="704" builtinId="9" hidden="1"/>
    <cellStyle name="Besuchter Hyperlink" xfId="706" builtinId="9" hidden="1"/>
    <cellStyle name="Besuchter Hyperlink" xfId="708" builtinId="9" hidden="1"/>
    <cellStyle name="Besuchter Hyperlink" xfId="710" builtinId="9" hidden="1"/>
    <cellStyle name="Besuchter Hyperlink" xfId="712" builtinId="9" hidden="1"/>
    <cellStyle name="Besuchter Hyperlink" xfId="714" builtinId="9" hidden="1"/>
    <cellStyle name="Besuchter Hyperlink" xfId="716" builtinId="9" hidden="1"/>
    <cellStyle name="Besuchter Hyperlink" xfId="718" builtinId="9" hidden="1"/>
    <cellStyle name="Besuchter Hyperlink" xfId="720" builtinId="9" hidden="1"/>
    <cellStyle name="Besuchter Hyperlink" xfId="722" builtinId="9" hidden="1"/>
    <cellStyle name="Besuchter Hyperlink" xfId="724" builtinId="9" hidden="1"/>
    <cellStyle name="Besuchter Hyperlink" xfId="726" builtinId="9" hidden="1"/>
    <cellStyle name="Besuchter Hyperlink" xfId="728" builtinId="9" hidden="1"/>
    <cellStyle name="Besuchter Hyperlink" xfId="730" builtinId="9" hidden="1"/>
    <cellStyle name="Besuchter Hyperlink" xfId="732" builtinId="9" hidden="1"/>
    <cellStyle name="Besuchter Hyperlink" xfId="734" builtinId="9" hidden="1"/>
    <cellStyle name="Besuchter Hyperlink" xfId="736" builtinId="9" hidden="1"/>
    <cellStyle name="Besuchter Hyperlink" xfId="738" builtinId="9" hidden="1"/>
    <cellStyle name="Besuchter Hyperlink" xfId="740" builtinId="9" hidden="1"/>
    <cellStyle name="Besuchter Hyperlink" xfId="742" builtinId="9" hidden="1"/>
    <cellStyle name="Besuchter Hyperlink" xfId="744" builtinId="9" hidden="1"/>
    <cellStyle name="Besuchter Hyperlink" xfId="746" builtinId="9" hidden="1"/>
    <cellStyle name="Besuchter Hyperlink" xfId="748" builtinId="9" hidden="1"/>
    <cellStyle name="Besuchter Hyperlink" xfId="750" builtinId="9" hidden="1"/>
    <cellStyle name="Besuchter Hyperlink" xfId="752" builtinId="9" hidden="1"/>
    <cellStyle name="Besuchter Hyperlink" xfId="754" builtinId="9" hidden="1"/>
    <cellStyle name="Besuchter Hyperlink" xfId="756" builtinId="9" hidden="1"/>
    <cellStyle name="Besuchter Hyperlink" xfId="758" builtinId="9" hidden="1"/>
    <cellStyle name="Besuchter Hyperlink" xfId="760" builtinId="9" hidden="1"/>
    <cellStyle name="Besuchter Hyperlink" xfId="762" builtinId="9" hidden="1"/>
    <cellStyle name="Besuchter Hyperlink" xfId="764" builtinId="9" hidden="1"/>
    <cellStyle name="Besuchter Hyperlink" xfId="766" builtinId="9" hidden="1"/>
    <cellStyle name="Besuchter Hyperlink" xfId="768" builtinId="9" hidden="1"/>
    <cellStyle name="Besuchter Hyperlink" xfId="770" builtinId="9" hidden="1"/>
    <cellStyle name="Besuchter Hyperlink" xfId="772" builtinId="9" hidden="1"/>
    <cellStyle name="Besuchter Hyperlink" xfId="774" builtinId="9" hidden="1"/>
    <cellStyle name="Besuchter Hyperlink" xfId="776" builtinId="9" hidden="1"/>
    <cellStyle name="Besuchter Hyperlink" xfId="778" builtinId="9" hidden="1"/>
    <cellStyle name="Besuchter Hyperlink" xfId="780" builtinId="9" hidden="1"/>
    <cellStyle name="Besuchter Hyperlink" xfId="782" builtinId="9" hidden="1"/>
    <cellStyle name="Besuchter Hyperlink" xfId="784" builtinId="9" hidden="1"/>
    <cellStyle name="Besuchter Hyperlink" xfId="786" builtinId="9" hidden="1"/>
    <cellStyle name="Besuchter Hyperlink" xfId="788" builtinId="9" hidden="1"/>
    <cellStyle name="Besuchter Hyperlink" xfId="790" builtinId="9" hidden="1"/>
    <cellStyle name="Besuchter Hyperlink" xfId="792" builtinId="9" hidden="1"/>
    <cellStyle name="Besuchter Hyperlink" xfId="794" builtinId="9" hidden="1"/>
    <cellStyle name="Besuchter Hyperlink" xfId="796" builtinId="9" hidden="1"/>
    <cellStyle name="Besuchter Hyperlink" xfId="798" builtinId="9" hidden="1"/>
    <cellStyle name="Besuchter Hyperlink" xfId="800" builtinId="9" hidden="1"/>
    <cellStyle name="Besuchter Hyperlink" xfId="802" builtinId="9" hidden="1"/>
    <cellStyle name="Besuchter Hyperlink" xfId="804" builtinId="9" hidden="1"/>
    <cellStyle name="Besuchter Hyperlink" xfId="806" builtinId="9" hidden="1"/>
    <cellStyle name="Besuchter Hyperlink" xfId="808" builtinId="9" hidden="1"/>
    <cellStyle name="Besuchter Hyperlink" xfId="810" builtinId="9" hidden="1"/>
    <cellStyle name="Besuchter Hyperlink" xfId="812" builtinId="9" hidden="1"/>
    <cellStyle name="Besuchter Hyperlink" xfId="814" builtinId="9" hidden="1"/>
    <cellStyle name="Besuchter Hyperlink" xfId="816" builtinId="9" hidden="1"/>
    <cellStyle name="Besuchter Hyperlink" xfId="818" builtinId="9" hidden="1"/>
    <cellStyle name="Besuchter Hyperlink" xfId="820" builtinId="9" hidden="1"/>
    <cellStyle name="Besuchter Hyperlink" xfId="822" builtinId="9" hidden="1"/>
    <cellStyle name="Besuchter Hyperlink" xfId="824" builtinId="9" hidden="1"/>
    <cellStyle name="Besuchter Hyperlink" xfId="826" builtinId="9" hidden="1"/>
    <cellStyle name="Besuchter Hyperlink" xfId="828" builtinId="9" hidden="1"/>
    <cellStyle name="Besuchter Hyperlink" xfId="830" builtinId="9" hidden="1"/>
    <cellStyle name="Besuchter Hyperlink" xfId="832" builtinId="9" hidden="1"/>
    <cellStyle name="Besuchter Hyperlink" xfId="834" builtinId="9" hidden="1"/>
    <cellStyle name="Besuchter Hyperlink" xfId="836" builtinId="9" hidden="1"/>
    <cellStyle name="Besuchter Hyperlink" xfId="838" builtinId="9" hidden="1"/>
    <cellStyle name="Besuchter Hyperlink" xfId="840" builtinId="9" hidden="1"/>
    <cellStyle name="Besuchter Hyperlink" xfId="842" builtinId="9" hidden="1"/>
    <cellStyle name="Besuchter Hyperlink" xfId="844" builtinId="9" hidden="1"/>
    <cellStyle name="Besuchter Hyperlink" xfId="846" builtinId="9" hidden="1"/>
    <cellStyle name="Besuchter Hyperlink" xfId="848" builtinId="9" hidden="1"/>
    <cellStyle name="Besuchter Hyperlink" xfId="850" builtinId="9" hidden="1"/>
    <cellStyle name="Besuchter Hyperlink" xfId="852" builtinId="9" hidden="1"/>
    <cellStyle name="Besuchter Hyperlink" xfId="854" builtinId="9" hidden="1"/>
    <cellStyle name="Besuchter Hyperlink" xfId="856" builtinId="9" hidden="1"/>
    <cellStyle name="Besuchter Hyperlink" xfId="858" builtinId="9" hidden="1"/>
    <cellStyle name="Besuchter Hyperlink" xfId="860" builtinId="9" hidden="1"/>
    <cellStyle name="Besuchter Hyperlink" xfId="862" builtinId="9" hidden="1"/>
    <cellStyle name="Besuchter Hyperlink" xfId="864" builtinId="9" hidden="1"/>
    <cellStyle name="Besuchter Hyperlink" xfId="866" builtinId="9" hidden="1"/>
    <cellStyle name="Besuchter Hyperlink" xfId="868" builtinId="9" hidden="1"/>
    <cellStyle name="Besuchter Hyperlink" xfId="870" builtinId="9" hidden="1"/>
    <cellStyle name="Besuchter Hyperlink" xfId="872" builtinId="9" hidden="1"/>
    <cellStyle name="Besuchter Hyperlink" xfId="874" builtinId="9" hidden="1"/>
    <cellStyle name="Besuchter Hyperlink" xfId="876" builtinId="9" hidden="1"/>
    <cellStyle name="Besuchter Hyperlink" xfId="878" builtinId="9" hidden="1"/>
    <cellStyle name="Besuchter Hyperlink" xfId="880" builtinId="9" hidden="1"/>
    <cellStyle name="Besuchter Hyperlink" xfId="882" builtinId="9" hidden="1"/>
    <cellStyle name="Besuchter Hyperlink" xfId="884" builtinId="9" hidden="1"/>
    <cellStyle name="Besuchter Hyperlink" xfId="886" builtinId="9" hidden="1"/>
    <cellStyle name="Besuchter Hyperlink" xfId="888" builtinId="9" hidden="1"/>
    <cellStyle name="Besuchter Hyperlink" xfId="890" builtinId="9" hidden="1"/>
    <cellStyle name="Besuchter Hyperlink" xfId="892" builtinId="9" hidden="1"/>
    <cellStyle name="Besuchter Hyperlink" xfId="894" builtinId="9" hidden="1"/>
    <cellStyle name="Besuchter Hyperlink" xfId="896" builtinId="9" hidden="1"/>
    <cellStyle name="Besuchter Hyperlink" xfId="898" builtinId="9" hidden="1"/>
    <cellStyle name="Besuchter Hyperlink" xfId="900" builtinId="9" hidden="1"/>
    <cellStyle name="Besuchter Hyperlink" xfId="902" builtinId="9" hidden="1"/>
    <cellStyle name="Besuchter Hyperlink" xfId="904" builtinId="9" hidden="1"/>
    <cellStyle name="Besuchter Hyperlink" xfId="906" builtinId="9" hidden="1"/>
    <cellStyle name="Besuchter Hyperlink" xfId="908" builtinId="9" hidden="1"/>
    <cellStyle name="Besuchter Hyperlink" xfId="910" builtinId="9" hidden="1"/>
    <cellStyle name="Besuchter Hyperlink" xfId="912" builtinId="9" hidden="1"/>
    <cellStyle name="Besuchter Hyperlink" xfId="914" builtinId="9" hidden="1"/>
    <cellStyle name="Besuchter Hyperlink" xfId="916" builtinId="9" hidden="1"/>
    <cellStyle name="Besuchter Hyperlink" xfId="918" builtinId="9" hidden="1"/>
    <cellStyle name="Besuchter Hyperlink" xfId="920" builtinId="9" hidden="1"/>
    <cellStyle name="Besuchter Hyperlink" xfId="922" builtinId="9" hidden="1"/>
    <cellStyle name="Besuchter Hyperlink" xfId="924" builtinId="9" hidden="1"/>
    <cellStyle name="Besuchter Hyperlink" xfId="926" builtinId="9" hidden="1"/>
    <cellStyle name="Besuchter Hyperlink" xfId="928" builtinId="9" hidden="1"/>
    <cellStyle name="Besuchter Hyperlink" xfId="930" builtinId="9" hidden="1"/>
    <cellStyle name="Besuchter Hyperlink" xfId="932" builtinId="9" hidden="1"/>
    <cellStyle name="Besuchter Hyperlink" xfId="934" builtinId="9" hidden="1"/>
    <cellStyle name="Besuchter Hyperlink" xfId="936" builtinId="9" hidden="1"/>
    <cellStyle name="Besuchter Hyperlink" xfId="938" builtinId="9" hidden="1"/>
    <cellStyle name="Besuchter Hyperlink" xfId="940" builtinId="9" hidden="1"/>
    <cellStyle name="Besuchter Hyperlink" xfId="942" builtinId="9" hidden="1"/>
    <cellStyle name="Besuchter Hyperlink" xfId="944" builtinId="9" hidden="1"/>
    <cellStyle name="Besuchter Hyperlink" xfId="946" builtinId="9" hidden="1"/>
    <cellStyle name="Besuchter Hyperlink" xfId="948" builtinId="9" hidden="1"/>
    <cellStyle name="Besuchter Hyperlink" xfId="950" builtinId="9" hidden="1"/>
    <cellStyle name="Besuchter Hyperlink" xfId="952" builtinId="9" hidden="1"/>
    <cellStyle name="Besuchter Hyperlink" xfId="954" builtinId="9" hidden="1"/>
    <cellStyle name="Besuchter Hyperlink" xfId="956" builtinId="9" hidden="1"/>
    <cellStyle name="Besuchter Hyperlink" xfId="958" builtinId="9" hidden="1"/>
    <cellStyle name="Besuchter Hyperlink" xfId="960" builtinId="9" hidden="1"/>
    <cellStyle name="Besuchter Hyperlink" xfId="962" builtinId="9" hidden="1"/>
    <cellStyle name="Besuchter Hyperlink" xfId="964" builtinId="9" hidden="1"/>
    <cellStyle name="Besuchter Hyperlink" xfId="966" builtinId="9" hidden="1"/>
    <cellStyle name="Besuchter Hyperlink" xfId="968" builtinId="9" hidden="1"/>
    <cellStyle name="Besuchter Hyperlink" xfId="970" builtinId="9" hidden="1"/>
    <cellStyle name="Besuchter Hyperlink" xfId="972" builtinId="9" hidden="1"/>
    <cellStyle name="Besuchter Hyperlink" xfId="974" builtinId="9" hidden="1"/>
    <cellStyle name="Besuchter Hyperlink" xfId="976" builtinId="9" hidden="1"/>
    <cellStyle name="Besuchter Hyperlink" xfId="978" builtinId="9" hidden="1"/>
    <cellStyle name="Besuchter Hyperlink" xfId="980" builtinId="9" hidden="1"/>
    <cellStyle name="Besuchter Hyperlink" xfId="982" builtinId="9" hidden="1"/>
    <cellStyle name="Besuchter Hyperlink" xfId="984" builtinId="9" hidden="1"/>
    <cellStyle name="Besuchter Hyperlink" xfId="986" builtinId="9" hidden="1"/>
    <cellStyle name="Besuchter Hyperlink" xfId="988" builtinId="9" hidden="1"/>
    <cellStyle name="Besuchter Hyperlink" xfId="990" builtinId="9" hidden="1"/>
    <cellStyle name="Besuchter Hyperlink" xfId="992" builtinId="9" hidden="1"/>
    <cellStyle name="Besuchter Hyperlink" xfId="994" builtinId="9" hidden="1"/>
    <cellStyle name="Besuchter Hyperlink" xfId="996" builtinId="9" hidden="1"/>
    <cellStyle name="Besuchter Hyperlink" xfId="998" builtinId="9" hidden="1"/>
    <cellStyle name="Besuchter Hyperlink" xfId="1000" builtinId="9" hidden="1"/>
    <cellStyle name="Besuchter Hyperlink" xfId="1002" builtinId="9" hidden="1"/>
    <cellStyle name="Besuchter Hyperlink" xfId="1004" builtinId="9" hidden="1"/>
    <cellStyle name="Besuchter Hyperlink" xfId="1006" builtinId="9" hidden="1"/>
    <cellStyle name="Besuchter Hyperlink" xfId="1008" builtinId="9" hidden="1"/>
    <cellStyle name="Besuchter Hyperlink" xfId="1010" builtinId="9" hidden="1"/>
    <cellStyle name="Besuchter Hyperlink" xfId="1012" builtinId="9" hidden="1"/>
    <cellStyle name="Besuchter Hyperlink" xfId="1014" builtinId="9" hidden="1"/>
    <cellStyle name="Besuchter Hyperlink" xfId="1016" builtinId="9" hidden="1"/>
    <cellStyle name="Besuchter Hyperlink" xfId="1018" builtinId="9" hidden="1"/>
    <cellStyle name="Besuchter Hyperlink" xfId="1020" builtinId="9" hidden="1"/>
    <cellStyle name="Besuchter Hyperlink" xfId="1022" builtinId="9" hidden="1"/>
    <cellStyle name="Besuchter Hyperlink" xfId="1024" builtinId="9" hidden="1"/>
    <cellStyle name="Besuchter Hyperlink" xfId="1026" builtinId="9" hidden="1"/>
    <cellStyle name="Besuchter Hyperlink" xfId="1028" builtinId="9" hidden="1"/>
    <cellStyle name="Besuchter Hyperlink" xfId="1030" builtinId="9" hidden="1"/>
    <cellStyle name="Besuchter Hyperlink" xfId="1032" builtinId="9" hidden="1"/>
    <cellStyle name="Besuchter Hyperlink" xfId="1034" builtinId="9" hidden="1"/>
    <cellStyle name="Besuchter Hyperlink" xfId="1036" builtinId="9" hidden="1"/>
    <cellStyle name="Besuchter Hyperlink" xfId="1038" builtinId="9" hidden="1"/>
    <cellStyle name="Besuchter Hyperlink" xfId="1040" builtinId="9" hidden="1"/>
    <cellStyle name="Besuchter Hyperlink" xfId="1042" builtinId="9" hidden="1"/>
    <cellStyle name="Besuchter Hyperlink" xfId="1044" builtinId="9" hidden="1"/>
    <cellStyle name="Besuchter Hyperlink" xfId="1046" builtinId="9" hidden="1"/>
    <cellStyle name="Besuchter Hyperlink" xfId="1048" builtinId="9" hidden="1"/>
    <cellStyle name="Besuchter Hyperlink" xfId="1050" builtinId="9" hidden="1"/>
    <cellStyle name="Besuchter Hyperlink" xfId="1052" builtinId="9" hidden="1"/>
    <cellStyle name="Besuchter Hyperlink" xfId="1054" builtinId="9" hidden="1"/>
    <cellStyle name="Besuchter Hyperlink" xfId="1056" builtinId="9" hidden="1"/>
    <cellStyle name="Besuchter Hyperlink" xfId="1058" builtinId="9" hidden="1"/>
    <cellStyle name="Besuchter Hyperlink" xfId="1060" builtinId="9" hidden="1"/>
    <cellStyle name="Besuchter Hyperlink" xfId="1062" builtinId="9" hidden="1"/>
    <cellStyle name="Besuchter Hyperlink" xfId="1064" builtinId="9" hidden="1"/>
    <cellStyle name="Besuchter Hyperlink" xfId="1066" builtinId="9" hidden="1"/>
    <cellStyle name="Besuchter Hyperlink" xfId="1068" builtinId="9" hidden="1"/>
    <cellStyle name="Besuchter Hyperlink" xfId="1070" builtinId="9" hidden="1"/>
    <cellStyle name="Besuchter Hyperlink" xfId="1072" builtinId="9" hidden="1"/>
    <cellStyle name="Besuchter Hyperlink" xfId="1074" builtinId="9" hidden="1"/>
    <cellStyle name="Besuchter Hyperlink" xfId="1076" builtinId="9" hidden="1"/>
    <cellStyle name="Besuchter Hyperlink" xfId="1078" builtinId="9" hidden="1"/>
    <cellStyle name="Besuchter Hyperlink" xfId="1080" builtinId="9" hidden="1"/>
    <cellStyle name="Besuchter Hyperlink" xfId="1082" builtinId="9" hidden="1"/>
    <cellStyle name="Besuchter Hyperlink" xfId="1084" builtinId="9" hidden="1"/>
    <cellStyle name="Besuchter Hyperlink" xfId="1086" builtinId="9" hidden="1"/>
    <cellStyle name="Besuchter Hyperlink" xfId="1088" builtinId="9" hidden="1"/>
    <cellStyle name="Besuchter Hyperlink" xfId="1090" builtinId="9" hidden="1"/>
    <cellStyle name="Besuchter Hyperlink" xfId="1092" builtinId="9" hidden="1"/>
    <cellStyle name="Besuchter Hyperlink" xfId="1094" builtinId="9" hidden="1"/>
    <cellStyle name="Besuchter Hyperlink" xfId="1096" builtinId="9" hidden="1"/>
    <cellStyle name="Besuchter Hyperlink" xfId="1098" builtinId="9" hidden="1"/>
    <cellStyle name="Besuchter Hyperlink" xfId="1100" builtinId="9" hidden="1"/>
    <cellStyle name="Besuchter Hyperlink" xfId="1102" builtinId="9" hidden="1"/>
    <cellStyle name="Besuchter Hyperlink" xfId="1104" builtinId="9" hidden="1"/>
    <cellStyle name="Besuchter Hyperlink" xfId="1106" builtinId="9" hidden="1"/>
    <cellStyle name="Besuchter Hyperlink" xfId="1108" builtinId="9" hidden="1"/>
    <cellStyle name="Besuchter Hyperlink" xfId="1110" builtinId="9" hidden="1"/>
    <cellStyle name="Besuchter Hyperlink" xfId="1112" builtinId="9" hidden="1"/>
    <cellStyle name="Besuchter Hyperlink" xfId="1114" builtinId="9" hidden="1"/>
    <cellStyle name="Besuchter Hyperlink" xfId="1116" builtinId="9" hidden="1"/>
    <cellStyle name="Besuchter Hyperlink" xfId="1118" builtinId="9" hidden="1"/>
    <cellStyle name="Besuchter Hyperlink" xfId="1120" builtinId="9" hidden="1"/>
    <cellStyle name="Besuchter Hyperlink" xfId="1122" builtinId="9" hidden="1"/>
    <cellStyle name="Besuchter Hyperlink" xfId="1124" builtinId="9" hidden="1"/>
    <cellStyle name="Besuchter Hyperlink" xfId="1126" builtinId="9" hidden="1"/>
    <cellStyle name="Besuchter Hyperlink" xfId="1128" builtinId="9" hidden="1"/>
    <cellStyle name="Besuchter Hyperlink" xfId="1130" builtinId="9" hidden="1"/>
    <cellStyle name="Besuchter Hyperlink" xfId="1132" builtinId="9" hidden="1"/>
    <cellStyle name="Besuchter Hyperlink" xfId="1134" builtinId="9" hidden="1"/>
    <cellStyle name="Besuchter Hyperlink" xfId="1136" builtinId="9" hidden="1"/>
    <cellStyle name="Besuchter Hyperlink" xfId="1138" builtinId="9" hidden="1"/>
    <cellStyle name="Besuchter Hyperlink" xfId="1140" builtinId="9" hidden="1"/>
    <cellStyle name="Besuchter Hyperlink" xfId="1142" builtinId="9" hidden="1"/>
    <cellStyle name="Besuchter Hyperlink" xfId="1144" builtinId="9" hidden="1"/>
    <cellStyle name="Besuchter Hyperlink" xfId="1146" builtinId="9" hidden="1"/>
    <cellStyle name="Besuchter Hyperlink" xfId="1148" builtinId="9" hidden="1"/>
    <cellStyle name="Besuchter Hyperlink" xfId="1150" builtinId="9" hidden="1"/>
    <cellStyle name="Besuchter Hyperlink" xfId="1152" builtinId="9" hidden="1"/>
    <cellStyle name="Besuchter Hyperlink" xfId="1154" builtinId="9" hidden="1"/>
    <cellStyle name="Besuchter Hyperlink" xfId="1156" builtinId="9" hidden="1"/>
    <cellStyle name="Besuchter Hyperlink" xfId="1158" builtinId="9" hidden="1"/>
    <cellStyle name="Besuchter Hyperlink" xfId="1160" builtinId="9" hidden="1"/>
    <cellStyle name="Besuchter Hyperlink" xfId="1162" builtinId="9" hidden="1"/>
    <cellStyle name="Besuchter Hyperlink" xfId="1164" builtinId="9" hidden="1"/>
    <cellStyle name="Besuchter Hyperlink" xfId="1166" builtinId="9" hidden="1"/>
    <cellStyle name="Besuchter Hyperlink" xfId="1168" builtinId="9" hidden="1"/>
    <cellStyle name="Besuchter Hyperlink" xfId="1170" builtinId="9" hidden="1"/>
    <cellStyle name="Besuchter Hyperlink" xfId="1172" builtinId="9" hidden="1"/>
    <cellStyle name="Besuchter Hyperlink" xfId="1174" builtinId="9" hidden="1"/>
    <cellStyle name="Besuchter Hyperlink" xfId="1176" builtinId="9" hidden="1"/>
    <cellStyle name="Besuchter Hyperlink" xfId="1178" builtinId="9" hidden="1"/>
    <cellStyle name="Besuchter Hyperlink" xfId="1180" builtinId="9" hidden="1"/>
    <cellStyle name="Besuchter Hyperlink" xfId="1182" builtinId="9" hidden="1"/>
    <cellStyle name="Besuchter Hyperlink" xfId="1184" builtinId="9" hidden="1"/>
    <cellStyle name="Besuchter Hyperlink" xfId="1186" builtinId="9" hidden="1"/>
    <cellStyle name="Besuchter Hyperlink" xfId="1188" builtinId="9" hidden="1"/>
    <cellStyle name="Besuchter Hyperlink" xfId="1190" builtinId="9" hidden="1"/>
    <cellStyle name="Besuchter Hyperlink" xfId="1192" builtinId="9" hidden="1"/>
    <cellStyle name="Besuchter Hyperlink" xfId="1194" builtinId="9" hidden="1"/>
    <cellStyle name="Besuchter Hyperlink" xfId="1196" builtinId="9" hidden="1"/>
    <cellStyle name="Besuchter Hyperlink" xfId="1198" builtinId="9" hidden="1"/>
    <cellStyle name="Besuchter Hyperlink" xfId="1200" builtinId="9" hidden="1"/>
    <cellStyle name="Besuchter Hyperlink" xfId="1202" builtinId="9" hidden="1"/>
    <cellStyle name="Besuchter Hyperlink" xfId="1204" builtinId="9" hidden="1"/>
    <cellStyle name="Besuchter Hyperlink" xfId="1206" builtinId="9" hidden="1"/>
    <cellStyle name="Besuchter Hyperlink" xfId="1208" builtinId="9" hidden="1"/>
    <cellStyle name="Besuchter Hyperlink" xfId="1210" builtinId="9" hidden="1"/>
    <cellStyle name="Besuchter Hyperlink" xfId="1212" builtinId="9" hidden="1"/>
    <cellStyle name="Besuchter Hyperlink" xfId="1214" builtinId="9" hidden="1"/>
    <cellStyle name="Besuchter Hyperlink" xfId="1216" builtinId="9" hidden="1"/>
    <cellStyle name="Besuchter Hyperlink" xfId="1218" builtinId="9" hidden="1"/>
    <cellStyle name="Besuchter Hyperlink" xfId="1220" builtinId="9" hidden="1"/>
    <cellStyle name="Besuchter Hyperlink" xfId="1222" builtinId="9" hidden="1"/>
    <cellStyle name="Besuchter Hyperlink" xfId="1224" builtinId="9" hidden="1"/>
    <cellStyle name="Besuchter Hyperlink" xfId="1226" builtinId="9" hidden="1"/>
    <cellStyle name="Besuchter Hyperlink" xfId="1228" builtinId="9" hidden="1"/>
    <cellStyle name="Besuchter Hyperlink" xfId="1230" builtinId="9" hidden="1"/>
    <cellStyle name="Besuchter Hyperlink" xfId="1232" builtinId="9" hidden="1"/>
    <cellStyle name="Besuchter Hyperlink" xfId="1234" builtinId="9" hidden="1"/>
    <cellStyle name="Besuchter Hyperlink" xfId="1236" builtinId="9" hidden="1"/>
    <cellStyle name="Besuchter Hyperlink" xfId="1238" builtinId="9" hidden="1"/>
    <cellStyle name="Besuchter Hyperlink" xfId="1240" builtinId="9" hidden="1"/>
    <cellStyle name="Besuchter Hyperlink" xfId="1242" builtinId="9" hidden="1"/>
    <cellStyle name="Besuchter Hyperlink" xfId="1244" builtinId="9" hidden="1"/>
    <cellStyle name="Besuchter Hyperlink" xfId="1246" builtinId="9" hidden="1"/>
    <cellStyle name="Besuchter Hyperlink" xfId="1248" builtinId="9" hidden="1"/>
    <cellStyle name="Besuchter Hyperlink" xfId="1250" builtinId="9" hidden="1"/>
    <cellStyle name="Besuchter Hyperlink" xfId="1252" builtinId="9" hidden="1"/>
    <cellStyle name="Besuchter Hyperlink" xfId="1254" builtinId="9" hidden="1"/>
    <cellStyle name="Besuchter Hyperlink" xfId="1256" builtinId="9" hidden="1"/>
    <cellStyle name="Besuchter Hyperlink" xfId="1258" builtinId="9" hidden="1"/>
    <cellStyle name="Besuchter Hyperlink" xfId="1260" builtinId="9" hidden="1"/>
    <cellStyle name="Besuchter Hyperlink" xfId="1262" builtinId="9" hidden="1"/>
    <cellStyle name="Besuchter Hyperlink" xfId="1264" builtinId="9" hidden="1"/>
    <cellStyle name="Besuchter Hyperlink" xfId="1266" builtinId="9" hidden="1"/>
    <cellStyle name="Besuchter Hyperlink" xfId="1268" builtinId="9" hidden="1"/>
    <cellStyle name="Besuchter Hyperlink" xfId="1270" builtinId="9" hidden="1"/>
    <cellStyle name="Besuchter Hyperlink" xfId="1272" builtinId="9" hidden="1"/>
    <cellStyle name="Besuchter Hyperlink" xfId="1274" builtinId="9" hidden="1"/>
    <cellStyle name="Besuchter Hyperlink" xfId="1276" builtinId="9" hidden="1"/>
    <cellStyle name="Besuchter Hyperlink" xfId="1278" builtinId="9" hidden="1"/>
    <cellStyle name="Besuchter Hyperlink" xfId="1280" builtinId="9" hidden="1"/>
    <cellStyle name="Besuchter Hyperlink" xfId="1282" builtinId="9" hidden="1"/>
    <cellStyle name="Besuchter Hyperlink" xfId="1284" builtinId="9" hidden="1"/>
    <cellStyle name="Besuchter Hyperlink" xfId="1286" builtinId="9" hidden="1"/>
    <cellStyle name="Besuchter Hyperlink" xfId="1288" builtinId="9" hidden="1"/>
    <cellStyle name="Besuchter Hyperlink" xfId="1290" builtinId="9" hidden="1"/>
    <cellStyle name="Besuchter Hyperlink" xfId="1292" builtinId="9" hidden="1"/>
    <cellStyle name="Besuchter Hyperlink" xfId="1294" builtinId="9" hidden="1"/>
    <cellStyle name="Besuchter Hyperlink" xfId="1296" builtinId="9" hidden="1"/>
    <cellStyle name="Besuchter Hyperlink" xfId="1298" builtinId="9" hidden="1"/>
    <cellStyle name="Besuchter Hyperlink" xfId="1300" builtinId="9" hidden="1"/>
    <cellStyle name="Besuchter Hyperlink" xfId="1302" builtinId="9" hidden="1"/>
    <cellStyle name="Besuchter Hyperlink" xfId="1304" builtinId="9" hidden="1"/>
    <cellStyle name="Besuchter Hyperlink" xfId="1306" builtinId="9" hidden="1"/>
    <cellStyle name="Besuchter Hyperlink" xfId="1308" builtinId="9" hidden="1"/>
    <cellStyle name="Besuchter Hyperlink" xfId="1310" builtinId="9" hidden="1"/>
    <cellStyle name="Besuchter Hyperlink" xfId="1312" builtinId="9" hidden="1"/>
    <cellStyle name="Besuchter Hyperlink" xfId="1314" builtinId="9" hidden="1"/>
    <cellStyle name="Besuchter Hyperlink" xfId="1316" builtinId="9" hidden="1"/>
    <cellStyle name="Besuchter Hyperlink" xfId="1318" builtinId="9" hidden="1"/>
    <cellStyle name="Besuchter Hyperlink" xfId="1320" builtinId="9" hidden="1"/>
    <cellStyle name="Besuchter Hyperlink" xfId="1322" builtinId="9" hidden="1"/>
    <cellStyle name="Besuchter Hyperlink" xfId="1324" builtinId="9" hidden="1"/>
    <cellStyle name="Besuchter Hyperlink" xfId="1326" builtinId="9" hidden="1"/>
    <cellStyle name="Besuchter Hyperlink" xfId="1328" builtinId="9" hidden="1"/>
    <cellStyle name="Besuchter Hyperlink" xfId="1330" builtinId="9" hidden="1"/>
    <cellStyle name="Besuchter Hyperlink" xfId="1332" builtinId="9" hidden="1"/>
    <cellStyle name="Besuchter Hyperlink" xfId="1334" builtinId="9" hidden="1"/>
    <cellStyle name="Besuchter Hyperlink" xfId="1336" builtinId="9" hidden="1"/>
    <cellStyle name="Besuchter Hyperlink" xfId="1338" builtinId="9" hidden="1"/>
    <cellStyle name="Besuchter Hyperlink" xfId="1340" builtinId="9" hidden="1"/>
    <cellStyle name="Besuchter Hyperlink" xfId="1342" builtinId="9" hidden="1"/>
    <cellStyle name="Besuchter Hyperlink" xfId="1344" builtinId="9" hidden="1"/>
    <cellStyle name="Besuchter Hyperlink" xfId="1346" builtinId="9" hidden="1"/>
    <cellStyle name="Besuchter Hyperlink" xfId="1348" builtinId="9" hidden="1"/>
    <cellStyle name="Besuchter Hyperlink" xfId="1350" builtinId="9" hidden="1"/>
    <cellStyle name="Besuchter Hyperlink" xfId="1352" builtinId="9" hidden="1"/>
    <cellStyle name="Besuchter Hyperlink" xfId="1354" builtinId="9" hidden="1"/>
    <cellStyle name="Besuchter Hyperlink" xfId="1356" builtinId="9" hidden="1"/>
    <cellStyle name="Besuchter Hyperlink" xfId="1358" builtinId="9" hidden="1"/>
    <cellStyle name="Besuchter Hyperlink" xfId="1360" builtinId="9" hidden="1"/>
    <cellStyle name="Besuchter Hyperlink" xfId="1362" builtinId="9" hidden="1"/>
    <cellStyle name="Besuchter Hyperlink" xfId="1364" builtinId="9" hidden="1"/>
    <cellStyle name="Besuchter Hyperlink" xfId="1366" builtinId="9" hidden="1"/>
    <cellStyle name="Besuchter Hyperlink" xfId="1368" builtinId="9" hidden="1"/>
    <cellStyle name="Besuchter Hyperlink" xfId="1370" builtinId="9" hidden="1"/>
    <cellStyle name="Besuchter Hyperlink" xfId="1372" builtinId="9" hidden="1"/>
    <cellStyle name="Besuchter Hyperlink" xfId="1374" builtinId="9" hidden="1"/>
    <cellStyle name="Besuchter Hyperlink" xfId="1376" builtinId="9" hidden="1"/>
    <cellStyle name="Besuchter Hyperlink" xfId="1378" builtinId="9" hidden="1"/>
    <cellStyle name="Besuchter Hyperlink" xfId="1380" builtinId="9" hidden="1"/>
    <cellStyle name="Besuchter Hyperlink" xfId="1382" builtinId="9" hidden="1"/>
    <cellStyle name="Besuchter Hyperlink" xfId="1384" builtinId="9" hidden="1"/>
    <cellStyle name="Besuchter Hyperlink" xfId="1386" builtinId="9" hidden="1"/>
    <cellStyle name="Besuchter Hyperlink" xfId="1388" builtinId="9" hidden="1"/>
    <cellStyle name="Besuchter Hyperlink" xfId="1390" builtinId="9" hidden="1"/>
    <cellStyle name="Besuchter Hyperlink" xfId="1392" builtinId="9" hidden="1"/>
    <cellStyle name="Besuchter Hyperlink" xfId="1394" builtinId="9" hidden="1"/>
    <cellStyle name="Besuchter Hyperlink" xfId="1396" builtinId="9" hidden="1"/>
    <cellStyle name="Besuchter Hyperlink" xfId="1398" builtinId="9" hidden="1"/>
    <cellStyle name="Besuchter Hyperlink" xfId="1400" builtinId="9" hidden="1"/>
    <cellStyle name="Besuchter Hyperlink" xfId="1402" builtinId="9" hidden="1"/>
    <cellStyle name="Besuchter Hyperlink" xfId="1404" builtinId="9" hidden="1"/>
    <cellStyle name="Besuchter Hyperlink" xfId="1406" builtinId="9" hidden="1"/>
    <cellStyle name="Besuchter Hyperlink" xfId="1408" builtinId="9" hidden="1"/>
    <cellStyle name="Besuchter Hyperlink" xfId="1410" builtinId="9" hidden="1"/>
    <cellStyle name="Besuchter Hyperlink" xfId="1412" builtinId="9" hidden="1"/>
    <cellStyle name="Besuchter Hyperlink" xfId="1414" builtinId="9" hidden="1"/>
    <cellStyle name="Besuchter Hyperlink" xfId="1416" builtinId="9" hidden="1"/>
    <cellStyle name="Besuchter Hyperlink" xfId="1418" builtinId="9" hidden="1"/>
    <cellStyle name="Besuchter Hyperlink" xfId="1420" builtinId="9" hidden="1"/>
    <cellStyle name="Besuchter Hyperlink" xfId="1422" builtinId="9" hidden="1"/>
    <cellStyle name="Besuchter Hyperlink" xfId="1424" builtinId="9" hidden="1"/>
    <cellStyle name="Besuchter Hyperlink" xfId="1426" builtinId="9" hidden="1"/>
    <cellStyle name="Besuchter Hyperlink" xfId="1428" builtinId="9" hidden="1"/>
    <cellStyle name="Besuchter Hyperlink" xfId="1430" builtinId="9" hidden="1"/>
    <cellStyle name="Besuchter Hyperlink" xfId="1432" builtinId="9" hidden="1"/>
    <cellStyle name="Besuchter Hyperlink" xfId="1434" builtinId="9" hidden="1"/>
    <cellStyle name="Besuchter Hyperlink" xfId="1436" builtinId="9" hidden="1"/>
    <cellStyle name="Besuchter Hyperlink" xfId="1438" builtinId="9" hidden="1"/>
    <cellStyle name="Besuchter Hyperlink" xfId="1440" builtinId="9" hidden="1"/>
    <cellStyle name="Besuchter Hyperlink" xfId="1442" builtinId="9" hidden="1"/>
    <cellStyle name="Besuchter Hyperlink" xfId="1444" builtinId="9" hidden="1"/>
    <cellStyle name="Besuchter Hyperlink" xfId="1446" builtinId="9" hidden="1"/>
    <cellStyle name="Besuchter Hyperlink" xfId="1448" builtinId="9" hidden="1"/>
    <cellStyle name="Besuchter Hyperlink" xfId="1450" builtinId="9" hidden="1"/>
    <cellStyle name="Besuchter Hyperlink" xfId="1452" builtinId="9" hidden="1"/>
    <cellStyle name="Besuchter Hyperlink" xfId="1454" builtinId="9" hidden="1"/>
    <cellStyle name="Besuchter Hyperlink" xfId="1456" builtinId="9" hidden="1"/>
    <cellStyle name="Besuchter Hyperlink" xfId="1458" builtinId="9" hidden="1"/>
    <cellStyle name="Besuchter Hyperlink" xfId="1460" builtinId="9" hidden="1"/>
    <cellStyle name="Besuchter Hyperlink" xfId="1462" builtinId="9" hidden="1"/>
    <cellStyle name="Besuchter Hyperlink" xfId="1464" builtinId="9" hidden="1"/>
    <cellStyle name="Besuchter Hyperlink" xfId="1466" builtinId="9" hidden="1"/>
    <cellStyle name="Besuchter Hyperlink" xfId="1468" builtinId="9" hidden="1"/>
    <cellStyle name="Besuchter Hyperlink" xfId="1470" builtinId="9" hidden="1"/>
    <cellStyle name="Besuchter Hyperlink" xfId="1472" builtinId="9" hidden="1"/>
    <cellStyle name="Besuchter Hyperlink" xfId="1474" builtinId="9" hidden="1"/>
    <cellStyle name="Besuchter Hyperlink" xfId="1476" builtinId="9" hidden="1"/>
    <cellStyle name="Besuchter Hyperlink" xfId="1478" builtinId="9" hidden="1"/>
    <cellStyle name="Besuchter Hyperlink" xfId="1480" builtinId="9" hidden="1"/>
    <cellStyle name="Besuchter Hyperlink" xfId="1482" builtinId="9" hidden="1"/>
    <cellStyle name="Besuchter Hyperlink" xfId="1484" builtinId="9" hidden="1"/>
    <cellStyle name="Besuchter Hyperlink" xfId="1486" builtinId="9" hidden="1"/>
    <cellStyle name="Besuchter Hyperlink" xfId="1488" builtinId="9" hidden="1"/>
    <cellStyle name="Besuchter Hyperlink" xfId="1490" builtinId="9" hidden="1"/>
    <cellStyle name="Besuchter Hyperlink" xfId="1492" builtinId="9" hidden="1"/>
    <cellStyle name="Besuchter Hyperlink" xfId="1494" builtinId="9" hidden="1"/>
    <cellStyle name="Besuchter Hyperlink" xfId="1496" builtinId="9" hidden="1"/>
    <cellStyle name="Besuchter Hyperlink" xfId="1498" builtinId="9" hidden="1"/>
    <cellStyle name="Besuchter Hyperlink" xfId="1500" builtinId="9" hidden="1"/>
    <cellStyle name="Besuchter Hyperlink" xfId="1502" builtinId="9" hidden="1"/>
    <cellStyle name="Besuchter Hyperlink" xfId="1504" builtinId="9" hidden="1"/>
    <cellStyle name="Besuchter Hyperlink" xfId="1506" builtinId="9" hidden="1"/>
    <cellStyle name="Besuchter Hyperlink" xfId="1508" builtinId="9" hidden="1"/>
    <cellStyle name="Besuchter Hyperlink" xfId="1510" builtinId="9" hidden="1"/>
    <cellStyle name="Besuchter Hyperlink" xfId="1512" builtinId="9" hidden="1"/>
    <cellStyle name="Besuchter Hyperlink" xfId="1514" builtinId="9" hidden="1"/>
    <cellStyle name="Besuchter Hyperlink" xfId="1516" builtinId="9" hidden="1"/>
    <cellStyle name="Besuchter Hyperlink" xfId="1518" builtinId="9" hidden="1"/>
    <cellStyle name="Besuchter Hyperlink" xfId="1520" builtinId="9" hidden="1"/>
    <cellStyle name="Besuchter Hyperlink" xfId="1522" builtinId="9" hidden="1"/>
    <cellStyle name="Besuchter Hyperlink" xfId="1524" builtinId="9" hidden="1"/>
    <cellStyle name="Besuchter Hyperlink" xfId="1526" builtinId="9" hidden="1"/>
    <cellStyle name="Besuchter Hyperlink" xfId="1528" builtinId="9" hidden="1"/>
    <cellStyle name="Besuchter Hyperlink" xfId="1532" builtinId="9" hidden="1"/>
    <cellStyle name="Besuchter Hyperlink" xfId="1534" builtinId="9" hidden="1"/>
    <cellStyle name="Besuchter Hyperlink" xfId="1536" builtinId="9" hidden="1"/>
    <cellStyle name="Besuchter Hyperlink" xfId="1538" builtinId="9" hidden="1"/>
    <cellStyle name="Besuchter Hyperlink" xfId="1540" builtinId="9" hidden="1"/>
    <cellStyle name="Besuchter Hyperlink" xfId="1542" builtinId="9" hidden="1"/>
    <cellStyle name="Besuchter Hyperlink" xfId="1544" builtinId="9" hidden="1"/>
    <cellStyle name="Besuchter Hyperlink" xfId="1546" builtinId="9" hidden="1"/>
    <cellStyle name="Besuchter Hyperlink" xfId="1548" builtinId="9" hidden="1"/>
    <cellStyle name="Besuchter Hyperlink" xfId="1550" builtinId="9" hidden="1"/>
    <cellStyle name="Besuchter Hyperlink" xfId="1552" builtinId="9" hidden="1"/>
    <cellStyle name="Besuchter Hyperlink" xfId="1554" builtinId="9" hidden="1"/>
    <cellStyle name="Besuchter Hyperlink" xfId="1556" builtinId="9" hidden="1"/>
    <cellStyle name="Dezimal 2" xfId="2" xr:uid="{00000000-0005-0000-0000-000008030000}"/>
    <cellStyle name="Dezimal 2 2" xfId="1530" xr:uid="{00000000-0005-0000-0000-000009030000}"/>
    <cellStyle name="Komma" xfId="1" builtinId="3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5" builtinId="8" hidden="1"/>
    <cellStyle name="Link" xfId="37" builtinId="8" hidden="1"/>
    <cellStyle name="Link" xfId="39" builtinId="8" hidden="1"/>
    <cellStyle name="Link" xfId="41" builtinId="8" hidden="1"/>
    <cellStyle name="Link" xfId="43" builtinId="8" hidden="1"/>
    <cellStyle name="Link" xfId="45" builtinId="8" hidden="1"/>
    <cellStyle name="Link" xfId="47" builtinId="8" hidden="1"/>
    <cellStyle name="Link" xfId="49" builtinId="8" hidden="1"/>
    <cellStyle name="Link" xfId="51" builtinId="8" hidden="1"/>
    <cellStyle name="Link" xfId="53" builtinId="8" hidden="1"/>
    <cellStyle name="Link" xfId="55" builtinId="8" hidden="1"/>
    <cellStyle name="Link" xfId="57" builtinId="8" hidden="1"/>
    <cellStyle name="Link" xfId="59" builtinId="8" hidden="1"/>
    <cellStyle name="Link" xfId="61" builtinId="8" hidden="1"/>
    <cellStyle name="Link" xfId="63" builtinId="8" hidden="1"/>
    <cellStyle name="Link" xfId="65" builtinId="8" hidden="1"/>
    <cellStyle name="Link" xfId="67" builtinId="8" hidden="1"/>
    <cellStyle name="Link" xfId="69" builtinId="8" hidden="1"/>
    <cellStyle name="Link" xfId="71" builtinId="8" hidden="1"/>
    <cellStyle name="Link" xfId="73" builtinId="8" hidden="1"/>
    <cellStyle name="Link" xfId="75" builtinId="8" hidden="1"/>
    <cellStyle name="Link" xfId="77" builtinId="8" hidden="1"/>
    <cellStyle name="Link" xfId="79" builtinId="8" hidden="1"/>
    <cellStyle name="Link" xfId="81" builtinId="8" hidden="1"/>
    <cellStyle name="Link" xfId="83" builtinId="8" hidden="1"/>
    <cellStyle name="Link" xfId="85" builtinId="8" hidden="1"/>
    <cellStyle name="Link" xfId="87" builtinId="8" hidden="1"/>
    <cellStyle name="Link" xfId="89" builtinId="8" hidden="1"/>
    <cellStyle name="Link" xfId="91" builtinId="8" hidden="1"/>
    <cellStyle name="Link" xfId="93" builtinId="8" hidden="1"/>
    <cellStyle name="Link" xfId="95" builtinId="8" hidden="1"/>
    <cellStyle name="Link" xfId="97" builtinId="8" hidden="1"/>
    <cellStyle name="Link" xfId="99" builtinId="8" hidden="1"/>
    <cellStyle name="Link" xfId="101" builtinId="8" hidden="1"/>
    <cellStyle name="Link" xfId="103" builtinId="8" hidden="1"/>
    <cellStyle name="Link" xfId="105" builtinId="8" hidden="1"/>
    <cellStyle name="Link" xfId="107" builtinId="8" hidden="1"/>
    <cellStyle name="Link" xfId="109" builtinId="8" hidden="1"/>
    <cellStyle name="Link" xfId="111" builtinId="8" hidden="1"/>
    <cellStyle name="Link" xfId="113" builtinId="8" hidden="1"/>
    <cellStyle name="Link" xfId="115" builtinId="8" hidden="1"/>
    <cellStyle name="Link" xfId="117" builtinId="8" hidden="1"/>
    <cellStyle name="Link" xfId="119" builtinId="8" hidden="1"/>
    <cellStyle name="Link" xfId="121" builtinId="8" hidden="1"/>
    <cellStyle name="Link" xfId="123" builtinId="8" hidden="1"/>
    <cellStyle name="Link" xfId="125" builtinId="8" hidden="1"/>
    <cellStyle name="Link" xfId="127" builtinId="8" hidden="1"/>
    <cellStyle name="Link" xfId="129" builtinId="8" hidden="1"/>
    <cellStyle name="Link" xfId="131" builtinId="8" hidden="1"/>
    <cellStyle name="Link" xfId="133" builtinId="8" hidden="1"/>
    <cellStyle name="Link" xfId="135" builtinId="8" hidden="1"/>
    <cellStyle name="Link" xfId="137" builtinId="8" hidden="1"/>
    <cellStyle name="Link" xfId="139" builtinId="8" hidden="1"/>
    <cellStyle name="Link" xfId="141" builtinId="8" hidden="1"/>
    <cellStyle name="Link" xfId="143" builtinId="8" hidden="1"/>
    <cellStyle name="Link" xfId="145" builtinId="8" hidden="1"/>
    <cellStyle name="Link" xfId="147" builtinId="8" hidden="1"/>
    <cellStyle name="Link" xfId="149" builtinId="8" hidden="1"/>
    <cellStyle name="Link" xfId="151" builtinId="8" hidden="1"/>
    <cellStyle name="Link" xfId="153" builtinId="8" hidden="1"/>
    <cellStyle name="Link" xfId="155" builtinId="8" hidden="1"/>
    <cellStyle name="Link" xfId="157" builtinId="8" hidden="1"/>
    <cellStyle name="Link" xfId="159" builtinId="8" hidden="1"/>
    <cellStyle name="Link" xfId="161" builtinId="8" hidden="1"/>
    <cellStyle name="Link" xfId="163" builtinId="8" hidden="1"/>
    <cellStyle name="Link" xfId="165" builtinId="8" hidden="1"/>
    <cellStyle name="Link" xfId="167" builtinId="8" hidden="1"/>
    <cellStyle name="Link" xfId="169" builtinId="8" hidden="1"/>
    <cellStyle name="Link" xfId="171" builtinId="8" hidden="1"/>
    <cellStyle name="Link" xfId="173" builtinId="8" hidden="1"/>
    <cellStyle name="Link" xfId="175" builtinId="8" hidden="1"/>
    <cellStyle name="Link" xfId="177" builtinId="8" hidden="1"/>
    <cellStyle name="Link" xfId="179" builtinId="8" hidden="1"/>
    <cellStyle name="Link" xfId="181" builtinId="8" hidden="1"/>
    <cellStyle name="Link" xfId="183" builtinId="8" hidden="1"/>
    <cellStyle name="Link" xfId="185" builtinId="8" hidden="1"/>
    <cellStyle name="Link" xfId="187" builtinId="8" hidden="1"/>
    <cellStyle name="Link" xfId="189" builtinId="8" hidden="1"/>
    <cellStyle name="Link" xfId="191" builtinId="8" hidden="1"/>
    <cellStyle name="Link" xfId="193" builtinId="8" hidden="1"/>
    <cellStyle name="Link" xfId="195" builtinId="8" hidden="1"/>
    <cellStyle name="Link" xfId="197" builtinId="8" hidden="1"/>
    <cellStyle name="Link" xfId="199" builtinId="8" hidden="1"/>
    <cellStyle name="Link" xfId="201" builtinId="8" hidden="1"/>
    <cellStyle name="Link" xfId="203" builtinId="8" hidden="1"/>
    <cellStyle name="Link" xfId="205" builtinId="8" hidden="1"/>
    <cellStyle name="Link" xfId="207" builtinId="8" hidden="1"/>
    <cellStyle name="Link" xfId="209" builtinId="8" hidden="1"/>
    <cellStyle name="Link" xfId="211" builtinId="8" hidden="1"/>
    <cellStyle name="Link" xfId="213" builtinId="8" hidden="1"/>
    <cellStyle name="Link" xfId="215" builtinId="8" hidden="1"/>
    <cellStyle name="Link" xfId="217" builtinId="8" hidden="1"/>
    <cellStyle name="Link" xfId="219" builtinId="8" hidden="1"/>
    <cellStyle name="Link" xfId="221" builtinId="8" hidden="1"/>
    <cellStyle name="Link" xfId="223" builtinId="8" hidden="1"/>
    <cellStyle name="Link" xfId="225" builtinId="8" hidden="1"/>
    <cellStyle name="Link" xfId="227" builtinId="8" hidden="1"/>
    <cellStyle name="Link" xfId="229" builtinId="8" hidden="1"/>
    <cellStyle name="Link" xfId="231" builtinId="8" hidden="1"/>
    <cellStyle name="Link" xfId="233" builtinId="8" hidden="1"/>
    <cellStyle name="Link" xfId="235" builtinId="8" hidden="1"/>
    <cellStyle name="Link" xfId="237" builtinId="8" hidden="1"/>
    <cellStyle name="Link" xfId="239" builtinId="8" hidden="1"/>
    <cellStyle name="Link" xfId="241" builtinId="8" hidden="1"/>
    <cellStyle name="Link" xfId="243" builtinId="8" hidden="1"/>
    <cellStyle name="Link" xfId="245" builtinId="8" hidden="1"/>
    <cellStyle name="Link" xfId="247" builtinId="8" hidden="1"/>
    <cellStyle name="Link" xfId="249" builtinId="8" hidden="1"/>
    <cellStyle name="Link" xfId="251" builtinId="8" hidden="1"/>
    <cellStyle name="Link" xfId="253" builtinId="8" hidden="1"/>
    <cellStyle name="Link" xfId="255" builtinId="8" hidden="1"/>
    <cellStyle name="Link" xfId="257" builtinId="8" hidden="1"/>
    <cellStyle name="Link" xfId="259" builtinId="8" hidden="1"/>
    <cellStyle name="Link" xfId="261" builtinId="8" hidden="1"/>
    <cellStyle name="Link" xfId="263" builtinId="8" hidden="1"/>
    <cellStyle name="Link" xfId="265" builtinId="8" hidden="1"/>
    <cellStyle name="Link" xfId="267" builtinId="8" hidden="1"/>
    <cellStyle name="Link" xfId="269" builtinId="8" hidden="1"/>
    <cellStyle name="Link" xfId="271" builtinId="8" hidden="1"/>
    <cellStyle name="Link" xfId="273" builtinId="8" hidden="1"/>
    <cellStyle name="Link" xfId="275" builtinId="8" hidden="1"/>
    <cellStyle name="Link" xfId="277" builtinId="8" hidden="1"/>
    <cellStyle name="Link" xfId="279" builtinId="8" hidden="1"/>
    <cellStyle name="Link" xfId="281" builtinId="8" hidden="1"/>
    <cellStyle name="Link" xfId="283" builtinId="8" hidden="1"/>
    <cellStyle name="Link" xfId="285" builtinId="8" hidden="1"/>
    <cellStyle name="Link" xfId="287" builtinId="8" hidden="1"/>
    <cellStyle name="Link" xfId="289" builtinId="8" hidden="1"/>
    <cellStyle name="Link" xfId="291" builtinId="8" hidden="1"/>
    <cellStyle name="Link" xfId="293" builtinId="8" hidden="1"/>
    <cellStyle name="Link" xfId="295" builtinId="8" hidden="1"/>
    <cellStyle name="Link" xfId="297" builtinId="8" hidden="1"/>
    <cellStyle name="Link" xfId="299" builtinId="8" hidden="1"/>
    <cellStyle name="Link" xfId="301" builtinId="8" hidden="1"/>
    <cellStyle name="Link" xfId="303" builtinId="8" hidden="1"/>
    <cellStyle name="Link" xfId="305" builtinId="8" hidden="1"/>
    <cellStyle name="Link" xfId="307" builtinId="8" hidden="1"/>
    <cellStyle name="Link" xfId="309" builtinId="8" hidden="1"/>
    <cellStyle name="Link" xfId="311" builtinId="8" hidden="1"/>
    <cellStyle name="Link" xfId="313" builtinId="8" hidden="1"/>
    <cellStyle name="Link" xfId="315" builtinId="8" hidden="1"/>
    <cellStyle name="Link" xfId="317" builtinId="8" hidden="1"/>
    <cellStyle name="Link" xfId="319" builtinId="8" hidden="1"/>
    <cellStyle name="Link" xfId="321" builtinId="8" hidden="1"/>
    <cellStyle name="Link" xfId="323" builtinId="8" hidden="1"/>
    <cellStyle name="Link" xfId="325" builtinId="8" hidden="1"/>
    <cellStyle name="Link" xfId="327" builtinId="8" hidden="1"/>
    <cellStyle name="Link" xfId="329" builtinId="8" hidden="1"/>
    <cellStyle name="Link" xfId="331" builtinId="8" hidden="1"/>
    <cellStyle name="Link" xfId="333" builtinId="8" hidden="1"/>
    <cellStyle name="Link" xfId="335" builtinId="8" hidden="1"/>
    <cellStyle name="Link" xfId="337" builtinId="8" hidden="1"/>
    <cellStyle name="Link" xfId="339" builtinId="8" hidden="1"/>
    <cellStyle name="Link" xfId="341" builtinId="8" hidden="1"/>
    <cellStyle name="Link" xfId="343" builtinId="8" hidden="1"/>
    <cellStyle name="Link" xfId="345" builtinId="8" hidden="1"/>
    <cellStyle name="Link" xfId="347" builtinId="8" hidden="1"/>
    <cellStyle name="Link" xfId="349" builtinId="8" hidden="1"/>
    <cellStyle name="Link" xfId="351" builtinId="8" hidden="1"/>
    <cellStyle name="Link" xfId="353" builtinId="8" hidden="1"/>
    <cellStyle name="Link" xfId="355" builtinId="8" hidden="1"/>
    <cellStyle name="Link" xfId="357" builtinId="8" hidden="1"/>
    <cellStyle name="Link" xfId="359" builtinId="8" hidden="1"/>
    <cellStyle name="Link" xfId="361" builtinId="8" hidden="1"/>
    <cellStyle name="Link" xfId="363" builtinId="8" hidden="1"/>
    <cellStyle name="Link" xfId="365" builtinId="8" hidden="1"/>
    <cellStyle name="Link" xfId="367" builtinId="8" hidden="1"/>
    <cellStyle name="Link" xfId="369" builtinId="8" hidden="1"/>
    <cellStyle name="Link" xfId="371" builtinId="8" hidden="1"/>
    <cellStyle name="Link" xfId="373" builtinId="8" hidden="1"/>
    <cellStyle name="Link" xfId="375" builtinId="8" hidden="1"/>
    <cellStyle name="Link" xfId="377" builtinId="8" hidden="1"/>
    <cellStyle name="Link" xfId="379" builtinId="8" hidden="1"/>
    <cellStyle name="Link" xfId="381" builtinId="8" hidden="1"/>
    <cellStyle name="Link" xfId="383" builtinId="8" hidden="1"/>
    <cellStyle name="Link" xfId="385" builtinId="8" hidden="1"/>
    <cellStyle name="Link" xfId="387" builtinId="8" hidden="1"/>
    <cellStyle name="Link" xfId="389" builtinId="8" hidden="1"/>
    <cellStyle name="Link" xfId="391" builtinId="8" hidden="1"/>
    <cellStyle name="Link" xfId="393" builtinId="8" hidden="1"/>
    <cellStyle name="Link" xfId="395" builtinId="8" hidden="1"/>
    <cellStyle name="Link" xfId="397" builtinId="8" hidden="1"/>
    <cellStyle name="Link" xfId="399" builtinId="8" hidden="1"/>
    <cellStyle name="Link" xfId="401" builtinId="8" hidden="1"/>
    <cellStyle name="Link" xfId="403" builtinId="8" hidden="1"/>
    <cellStyle name="Link" xfId="405" builtinId="8" hidden="1"/>
    <cellStyle name="Link" xfId="407" builtinId="8" hidden="1"/>
    <cellStyle name="Link" xfId="409" builtinId="8" hidden="1"/>
    <cellStyle name="Link" xfId="411" builtinId="8" hidden="1"/>
    <cellStyle name="Link" xfId="413" builtinId="8" hidden="1"/>
    <cellStyle name="Link" xfId="415" builtinId="8" hidden="1"/>
    <cellStyle name="Link" xfId="417" builtinId="8" hidden="1"/>
    <cellStyle name="Link" xfId="419" builtinId="8" hidden="1"/>
    <cellStyle name="Link" xfId="421" builtinId="8" hidden="1"/>
    <cellStyle name="Link" xfId="423" builtinId="8" hidden="1"/>
    <cellStyle name="Link" xfId="425" builtinId="8" hidden="1"/>
    <cellStyle name="Link" xfId="427" builtinId="8" hidden="1"/>
    <cellStyle name="Link" xfId="429" builtinId="8" hidden="1"/>
    <cellStyle name="Link" xfId="431" builtinId="8" hidden="1"/>
    <cellStyle name="Link" xfId="433" builtinId="8" hidden="1"/>
    <cellStyle name="Link" xfId="435" builtinId="8" hidden="1"/>
    <cellStyle name="Link" xfId="437" builtinId="8" hidden="1"/>
    <cellStyle name="Link" xfId="439" builtinId="8" hidden="1"/>
    <cellStyle name="Link" xfId="441" builtinId="8" hidden="1"/>
    <cellStyle name="Link" xfId="443" builtinId="8" hidden="1"/>
    <cellStyle name="Link" xfId="445" builtinId="8" hidden="1"/>
    <cellStyle name="Link" xfId="447" builtinId="8" hidden="1"/>
    <cellStyle name="Link" xfId="449" builtinId="8" hidden="1"/>
    <cellStyle name="Link" xfId="451" builtinId="8" hidden="1"/>
    <cellStyle name="Link" xfId="453" builtinId="8" hidden="1"/>
    <cellStyle name="Link" xfId="455" builtinId="8" hidden="1"/>
    <cellStyle name="Link" xfId="457" builtinId="8" hidden="1"/>
    <cellStyle name="Link" xfId="459" builtinId="8" hidden="1"/>
    <cellStyle name="Link" xfId="461" builtinId="8" hidden="1"/>
    <cellStyle name="Link" xfId="463" builtinId="8" hidden="1"/>
    <cellStyle name="Link" xfId="465" builtinId="8" hidden="1"/>
    <cellStyle name="Link" xfId="467" builtinId="8" hidden="1"/>
    <cellStyle name="Link" xfId="469" builtinId="8" hidden="1"/>
    <cellStyle name="Link" xfId="471" builtinId="8" hidden="1"/>
    <cellStyle name="Link" xfId="473" builtinId="8" hidden="1"/>
    <cellStyle name="Link" xfId="475" builtinId="8" hidden="1"/>
    <cellStyle name="Link" xfId="477" builtinId="8" hidden="1"/>
    <cellStyle name="Link" xfId="479" builtinId="8" hidden="1"/>
    <cellStyle name="Link" xfId="481" builtinId="8" hidden="1"/>
    <cellStyle name="Link" xfId="483" builtinId="8" hidden="1"/>
    <cellStyle name="Link" xfId="485" builtinId="8" hidden="1"/>
    <cellStyle name="Link" xfId="487" builtinId="8" hidden="1"/>
    <cellStyle name="Link" xfId="489" builtinId="8" hidden="1"/>
    <cellStyle name="Link" xfId="491" builtinId="8" hidden="1"/>
    <cellStyle name="Link" xfId="493" builtinId="8" hidden="1"/>
    <cellStyle name="Link" xfId="495" builtinId="8" hidden="1"/>
    <cellStyle name="Link" xfId="497" builtinId="8" hidden="1"/>
    <cellStyle name="Link" xfId="499" builtinId="8" hidden="1"/>
    <cellStyle name="Link" xfId="501" builtinId="8" hidden="1"/>
    <cellStyle name="Link" xfId="503" builtinId="8" hidden="1"/>
    <cellStyle name="Link" xfId="505" builtinId="8" hidden="1"/>
    <cellStyle name="Link" xfId="507" builtinId="8" hidden="1"/>
    <cellStyle name="Link" xfId="509" builtinId="8" hidden="1"/>
    <cellStyle name="Link" xfId="511" builtinId="8" hidden="1"/>
    <cellStyle name="Link" xfId="513" builtinId="8" hidden="1"/>
    <cellStyle name="Link" xfId="515" builtinId="8" hidden="1"/>
    <cellStyle name="Link" xfId="517" builtinId="8" hidden="1"/>
    <cellStyle name="Link" xfId="519" builtinId="8" hidden="1"/>
    <cellStyle name="Link" xfId="521" builtinId="8" hidden="1"/>
    <cellStyle name="Link" xfId="523" builtinId="8" hidden="1"/>
    <cellStyle name="Link" xfId="525" builtinId="8" hidden="1"/>
    <cellStyle name="Link" xfId="527" builtinId="8" hidden="1"/>
    <cellStyle name="Link" xfId="529" builtinId="8" hidden="1"/>
    <cellStyle name="Link" xfId="531" builtinId="8" hidden="1"/>
    <cellStyle name="Link" xfId="533" builtinId="8" hidden="1"/>
    <cellStyle name="Link" xfId="535" builtinId="8" hidden="1"/>
    <cellStyle name="Link" xfId="537" builtinId="8" hidden="1"/>
    <cellStyle name="Link" xfId="539" builtinId="8" hidden="1"/>
    <cellStyle name="Link" xfId="541" builtinId="8" hidden="1"/>
    <cellStyle name="Link" xfId="543" builtinId="8" hidden="1"/>
    <cellStyle name="Link" xfId="545" builtinId="8" hidden="1"/>
    <cellStyle name="Link" xfId="547" builtinId="8" hidden="1"/>
    <cellStyle name="Link" xfId="549" builtinId="8" hidden="1"/>
    <cellStyle name="Link" xfId="551" builtinId="8" hidden="1"/>
    <cellStyle name="Link" xfId="553" builtinId="8" hidden="1"/>
    <cellStyle name="Link" xfId="555" builtinId="8" hidden="1"/>
    <cellStyle name="Link" xfId="557" builtinId="8" hidden="1"/>
    <cellStyle name="Link" xfId="559" builtinId="8" hidden="1"/>
    <cellStyle name="Link" xfId="561" builtinId="8" hidden="1"/>
    <cellStyle name="Link" xfId="563" builtinId="8" hidden="1"/>
    <cellStyle name="Link" xfId="565" builtinId="8" hidden="1"/>
    <cellStyle name="Link" xfId="567" builtinId="8" hidden="1"/>
    <cellStyle name="Link" xfId="569" builtinId="8" hidden="1"/>
    <cellStyle name="Link" xfId="571" builtinId="8" hidden="1"/>
    <cellStyle name="Link" xfId="573" builtinId="8" hidden="1"/>
    <cellStyle name="Link" xfId="575" builtinId="8" hidden="1"/>
    <cellStyle name="Link" xfId="577" builtinId="8" hidden="1"/>
    <cellStyle name="Link" xfId="579" builtinId="8" hidden="1"/>
    <cellStyle name="Link" xfId="581" builtinId="8" hidden="1"/>
    <cellStyle name="Link" xfId="583" builtinId="8" hidden="1"/>
    <cellStyle name="Link" xfId="585" builtinId="8" hidden="1"/>
    <cellStyle name="Link" xfId="587" builtinId="8" hidden="1"/>
    <cellStyle name="Link" xfId="589" builtinId="8" hidden="1"/>
    <cellStyle name="Link" xfId="591" builtinId="8" hidden="1"/>
    <cellStyle name="Link" xfId="593" builtinId="8" hidden="1"/>
    <cellStyle name="Link" xfId="595" builtinId="8" hidden="1"/>
    <cellStyle name="Link" xfId="597" builtinId="8" hidden="1"/>
    <cellStyle name="Link" xfId="599" builtinId="8" hidden="1"/>
    <cellStyle name="Link" xfId="601" builtinId="8" hidden="1"/>
    <cellStyle name="Link" xfId="603" builtinId="8" hidden="1"/>
    <cellStyle name="Link" xfId="605" builtinId="8" hidden="1"/>
    <cellStyle name="Link" xfId="607" builtinId="8" hidden="1"/>
    <cellStyle name="Link" xfId="609" builtinId="8" hidden="1"/>
    <cellStyle name="Link" xfId="611" builtinId="8" hidden="1"/>
    <cellStyle name="Link" xfId="613" builtinId="8" hidden="1"/>
    <cellStyle name="Link" xfId="615" builtinId="8" hidden="1"/>
    <cellStyle name="Link" xfId="617" builtinId="8" hidden="1"/>
    <cellStyle name="Link" xfId="619" builtinId="8" hidden="1"/>
    <cellStyle name="Link" xfId="621" builtinId="8" hidden="1"/>
    <cellStyle name="Link" xfId="623" builtinId="8" hidden="1"/>
    <cellStyle name="Link" xfId="625" builtinId="8" hidden="1"/>
    <cellStyle name="Link" xfId="627" builtinId="8" hidden="1"/>
    <cellStyle name="Link" xfId="629" builtinId="8" hidden="1"/>
    <cellStyle name="Link" xfId="631" builtinId="8" hidden="1"/>
    <cellStyle name="Link" xfId="633" builtinId="8" hidden="1"/>
    <cellStyle name="Link" xfId="635" builtinId="8" hidden="1"/>
    <cellStyle name="Link" xfId="637" builtinId="8" hidden="1"/>
    <cellStyle name="Link" xfId="639" builtinId="8" hidden="1"/>
    <cellStyle name="Link" xfId="641" builtinId="8" hidden="1"/>
    <cellStyle name="Link" xfId="643" builtinId="8" hidden="1"/>
    <cellStyle name="Link" xfId="645" builtinId="8" hidden="1"/>
    <cellStyle name="Link" xfId="647" builtinId="8" hidden="1"/>
    <cellStyle name="Link" xfId="649" builtinId="8" hidden="1"/>
    <cellStyle name="Link" xfId="651" builtinId="8" hidden="1"/>
    <cellStyle name="Link" xfId="653" builtinId="8" hidden="1"/>
    <cellStyle name="Link" xfId="655" builtinId="8" hidden="1"/>
    <cellStyle name="Link" xfId="657" builtinId="8" hidden="1"/>
    <cellStyle name="Link" xfId="659" builtinId="8" hidden="1"/>
    <cellStyle name="Link" xfId="661" builtinId="8" hidden="1"/>
    <cellStyle name="Link" xfId="663" builtinId="8" hidden="1"/>
    <cellStyle name="Link" xfId="665" builtinId="8" hidden="1"/>
    <cellStyle name="Link" xfId="667" builtinId="8" hidden="1"/>
    <cellStyle name="Link" xfId="669" builtinId="8" hidden="1"/>
    <cellStyle name="Link" xfId="671" builtinId="8" hidden="1"/>
    <cellStyle name="Link" xfId="673" builtinId="8" hidden="1"/>
    <cellStyle name="Link" xfId="675" builtinId="8" hidden="1"/>
    <cellStyle name="Link" xfId="677" builtinId="8" hidden="1"/>
    <cellStyle name="Link" xfId="679" builtinId="8" hidden="1"/>
    <cellStyle name="Link" xfId="681" builtinId="8" hidden="1"/>
    <cellStyle name="Link" xfId="683" builtinId="8" hidden="1"/>
    <cellStyle name="Link" xfId="685" builtinId="8" hidden="1"/>
    <cellStyle name="Link" xfId="687" builtinId="8" hidden="1"/>
    <cellStyle name="Link" xfId="689" builtinId="8" hidden="1"/>
    <cellStyle name="Link" xfId="691" builtinId="8" hidden="1"/>
    <cellStyle name="Link" xfId="693" builtinId="8" hidden="1"/>
    <cellStyle name="Link" xfId="695" builtinId="8" hidden="1"/>
    <cellStyle name="Link" xfId="697" builtinId="8" hidden="1"/>
    <cellStyle name="Link" xfId="699" builtinId="8" hidden="1"/>
    <cellStyle name="Link" xfId="701" builtinId="8" hidden="1"/>
    <cellStyle name="Link" xfId="703" builtinId="8" hidden="1"/>
    <cellStyle name="Link" xfId="705" builtinId="8" hidden="1"/>
    <cellStyle name="Link" xfId="707" builtinId="8" hidden="1"/>
    <cellStyle name="Link" xfId="709" builtinId="8" hidden="1"/>
    <cellStyle name="Link" xfId="711" builtinId="8" hidden="1"/>
    <cellStyle name="Link" xfId="713" builtinId="8" hidden="1"/>
    <cellStyle name="Link" xfId="715" builtinId="8" hidden="1"/>
    <cellStyle name="Link" xfId="717" builtinId="8" hidden="1"/>
    <cellStyle name="Link" xfId="719" builtinId="8" hidden="1"/>
    <cellStyle name="Link" xfId="721" builtinId="8" hidden="1"/>
    <cellStyle name="Link" xfId="723" builtinId="8" hidden="1"/>
    <cellStyle name="Link" xfId="725" builtinId="8" hidden="1"/>
    <cellStyle name="Link" xfId="727" builtinId="8" hidden="1"/>
    <cellStyle name="Link" xfId="729" builtinId="8" hidden="1"/>
    <cellStyle name="Link" xfId="731" builtinId="8" hidden="1"/>
    <cellStyle name="Link" xfId="733" builtinId="8" hidden="1"/>
    <cellStyle name="Link" xfId="735" builtinId="8" hidden="1"/>
    <cellStyle name="Link" xfId="737" builtinId="8" hidden="1"/>
    <cellStyle name="Link" xfId="739" builtinId="8" hidden="1"/>
    <cellStyle name="Link" xfId="741" builtinId="8" hidden="1"/>
    <cellStyle name="Link" xfId="743" builtinId="8" hidden="1"/>
    <cellStyle name="Link" xfId="745" builtinId="8" hidden="1"/>
    <cellStyle name="Link" xfId="747" builtinId="8" hidden="1"/>
    <cellStyle name="Link" xfId="749" builtinId="8" hidden="1"/>
    <cellStyle name="Link" xfId="751" builtinId="8" hidden="1"/>
    <cellStyle name="Link" xfId="753" builtinId="8" hidden="1"/>
    <cellStyle name="Link" xfId="755" builtinId="8" hidden="1"/>
    <cellStyle name="Link" xfId="757" builtinId="8" hidden="1"/>
    <cellStyle name="Link" xfId="759" builtinId="8" hidden="1"/>
    <cellStyle name="Link" xfId="761" builtinId="8" hidden="1"/>
    <cellStyle name="Link" xfId="763" builtinId="8" hidden="1"/>
    <cellStyle name="Link" xfId="765" builtinId="8" hidden="1"/>
    <cellStyle name="Link" xfId="767" builtinId="8" hidden="1"/>
    <cellStyle name="Link" xfId="769" builtinId="8" hidden="1"/>
    <cellStyle name="Link" xfId="771" builtinId="8" hidden="1"/>
    <cellStyle name="Link" xfId="773" builtinId="8" hidden="1"/>
    <cellStyle name="Link" xfId="775" builtinId="8" hidden="1"/>
    <cellStyle name="Link" xfId="777" builtinId="8" hidden="1"/>
    <cellStyle name="Link" xfId="779" builtinId="8" hidden="1"/>
    <cellStyle name="Link" xfId="781" builtinId="8" hidden="1"/>
    <cellStyle name="Link" xfId="783" builtinId="8" hidden="1"/>
    <cellStyle name="Link" xfId="785" builtinId="8" hidden="1"/>
    <cellStyle name="Link" xfId="787" builtinId="8" hidden="1"/>
    <cellStyle name="Link" xfId="789" builtinId="8" hidden="1"/>
    <cellStyle name="Link" xfId="791" builtinId="8" hidden="1"/>
    <cellStyle name="Link" xfId="793" builtinId="8" hidden="1"/>
    <cellStyle name="Link" xfId="795" builtinId="8" hidden="1"/>
    <cellStyle name="Link" xfId="797" builtinId="8" hidden="1"/>
    <cellStyle name="Link" xfId="799" builtinId="8" hidden="1"/>
    <cellStyle name="Link" xfId="801" builtinId="8" hidden="1"/>
    <cellStyle name="Link" xfId="803" builtinId="8" hidden="1"/>
    <cellStyle name="Link" xfId="805" builtinId="8" hidden="1"/>
    <cellStyle name="Link" xfId="807" builtinId="8" hidden="1"/>
    <cellStyle name="Link" xfId="809" builtinId="8" hidden="1"/>
    <cellStyle name="Link" xfId="811" builtinId="8" hidden="1"/>
    <cellStyle name="Link" xfId="813" builtinId="8" hidden="1"/>
    <cellStyle name="Link" xfId="815" builtinId="8" hidden="1"/>
    <cellStyle name="Link" xfId="817" builtinId="8" hidden="1"/>
    <cellStyle name="Link" xfId="819" builtinId="8" hidden="1"/>
    <cellStyle name="Link" xfId="821" builtinId="8" hidden="1"/>
    <cellStyle name="Link" xfId="823" builtinId="8" hidden="1"/>
    <cellStyle name="Link" xfId="825" builtinId="8" hidden="1"/>
    <cellStyle name="Link" xfId="827" builtinId="8" hidden="1"/>
    <cellStyle name="Link" xfId="829" builtinId="8" hidden="1"/>
    <cellStyle name="Link" xfId="831" builtinId="8" hidden="1"/>
    <cellStyle name="Link" xfId="833" builtinId="8" hidden="1"/>
    <cellStyle name="Link" xfId="835" builtinId="8" hidden="1"/>
    <cellStyle name="Link" xfId="837" builtinId="8" hidden="1"/>
    <cellStyle name="Link" xfId="839" builtinId="8" hidden="1"/>
    <cellStyle name="Link" xfId="841" builtinId="8" hidden="1"/>
    <cellStyle name="Link" xfId="843" builtinId="8" hidden="1"/>
    <cellStyle name="Link" xfId="845" builtinId="8" hidden="1"/>
    <cellStyle name="Link" xfId="847" builtinId="8" hidden="1"/>
    <cellStyle name="Link" xfId="849" builtinId="8" hidden="1"/>
    <cellStyle name="Link" xfId="851" builtinId="8" hidden="1"/>
    <cellStyle name="Link" xfId="853" builtinId="8" hidden="1"/>
    <cellStyle name="Link" xfId="855" builtinId="8" hidden="1"/>
    <cellStyle name="Link" xfId="857" builtinId="8" hidden="1"/>
    <cellStyle name="Link" xfId="859" builtinId="8" hidden="1"/>
    <cellStyle name="Link" xfId="861" builtinId="8" hidden="1"/>
    <cellStyle name="Link" xfId="863" builtinId="8" hidden="1"/>
    <cellStyle name="Link" xfId="865" builtinId="8" hidden="1"/>
    <cellStyle name="Link" xfId="867" builtinId="8" hidden="1"/>
    <cellStyle name="Link" xfId="869" builtinId="8" hidden="1"/>
    <cellStyle name="Link" xfId="871" builtinId="8" hidden="1"/>
    <cellStyle name="Link" xfId="873" builtinId="8" hidden="1"/>
    <cellStyle name="Link" xfId="875" builtinId="8" hidden="1"/>
    <cellStyle name="Link" xfId="877" builtinId="8" hidden="1"/>
    <cellStyle name="Link" xfId="879" builtinId="8" hidden="1"/>
    <cellStyle name="Link" xfId="881" builtinId="8" hidden="1"/>
    <cellStyle name="Link" xfId="883" builtinId="8" hidden="1"/>
    <cellStyle name="Link" xfId="885" builtinId="8" hidden="1"/>
    <cellStyle name="Link" xfId="887" builtinId="8" hidden="1"/>
    <cellStyle name="Link" xfId="889" builtinId="8" hidden="1"/>
    <cellStyle name="Link" xfId="891" builtinId="8" hidden="1"/>
    <cellStyle name="Link" xfId="893" builtinId="8" hidden="1"/>
    <cellStyle name="Link" xfId="895" builtinId="8" hidden="1"/>
    <cellStyle name="Link" xfId="897" builtinId="8" hidden="1"/>
    <cellStyle name="Link" xfId="899" builtinId="8" hidden="1"/>
    <cellStyle name="Link" xfId="901" builtinId="8" hidden="1"/>
    <cellStyle name="Link" xfId="903" builtinId="8" hidden="1"/>
    <cellStyle name="Link" xfId="905" builtinId="8" hidden="1"/>
    <cellStyle name="Link" xfId="907" builtinId="8" hidden="1"/>
    <cellStyle name="Link" xfId="909" builtinId="8" hidden="1"/>
    <cellStyle name="Link" xfId="911" builtinId="8" hidden="1"/>
    <cellStyle name="Link" xfId="913" builtinId="8" hidden="1"/>
    <cellStyle name="Link" xfId="915" builtinId="8" hidden="1"/>
    <cellStyle name="Link" xfId="917" builtinId="8" hidden="1"/>
    <cellStyle name="Link" xfId="919" builtinId="8" hidden="1"/>
    <cellStyle name="Link" xfId="921" builtinId="8" hidden="1"/>
    <cellStyle name="Link" xfId="923" builtinId="8" hidden="1"/>
    <cellStyle name="Link" xfId="925" builtinId="8" hidden="1"/>
    <cellStyle name="Link" xfId="927" builtinId="8" hidden="1"/>
    <cellStyle name="Link" xfId="929" builtinId="8" hidden="1"/>
    <cellStyle name="Link" xfId="931" builtinId="8" hidden="1"/>
    <cellStyle name="Link" xfId="933" builtinId="8" hidden="1"/>
    <cellStyle name="Link" xfId="935" builtinId="8" hidden="1"/>
    <cellStyle name="Link" xfId="937" builtinId="8" hidden="1"/>
    <cellStyle name="Link" xfId="939" builtinId="8" hidden="1"/>
    <cellStyle name="Link" xfId="941" builtinId="8" hidden="1"/>
    <cellStyle name="Link" xfId="943" builtinId="8" hidden="1"/>
    <cellStyle name="Link" xfId="945" builtinId="8" hidden="1"/>
    <cellStyle name="Link" xfId="947" builtinId="8" hidden="1"/>
    <cellStyle name="Link" xfId="949" builtinId="8" hidden="1"/>
    <cellStyle name="Link" xfId="951" builtinId="8" hidden="1"/>
    <cellStyle name="Link" xfId="953" builtinId="8" hidden="1"/>
    <cellStyle name="Link" xfId="955" builtinId="8" hidden="1"/>
    <cellStyle name="Link" xfId="957" builtinId="8" hidden="1"/>
    <cellStyle name="Link" xfId="959" builtinId="8" hidden="1"/>
    <cellStyle name="Link" xfId="961" builtinId="8" hidden="1"/>
    <cellStyle name="Link" xfId="963" builtinId="8" hidden="1"/>
    <cellStyle name="Link" xfId="965" builtinId="8" hidden="1"/>
    <cellStyle name="Link" xfId="967" builtinId="8" hidden="1"/>
    <cellStyle name="Link" xfId="969" builtinId="8" hidden="1"/>
    <cellStyle name="Link" xfId="971" builtinId="8" hidden="1"/>
    <cellStyle name="Link" xfId="973" builtinId="8" hidden="1"/>
    <cellStyle name="Link" xfId="975" builtinId="8" hidden="1"/>
    <cellStyle name="Link" xfId="977" builtinId="8" hidden="1"/>
    <cellStyle name="Link" xfId="979" builtinId="8" hidden="1"/>
    <cellStyle name="Link" xfId="981" builtinId="8" hidden="1"/>
    <cellStyle name="Link" xfId="983" builtinId="8" hidden="1"/>
    <cellStyle name="Link" xfId="985" builtinId="8" hidden="1"/>
    <cellStyle name="Link" xfId="987" builtinId="8" hidden="1"/>
    <cellStyle name="Link" xfId="989" builtinId="8" hidden="1"/>
    <cellStyle name="Link" xfId="991" builtinId="8" hidden="1"/>
    <cellStyle name="Link" xfId="993" builtinId="8" hidden="1"/>
    <cellStyle name="Link" xfId="995" builtinId="8" hidden="1"/>
    <cellStyle name="Link" xfId="997" builtinId="8" hidden="1"/>
    <cellStyle name="Link" xfId="999" builtinId="8" hidden="1"/>
    <cellStyle name="Link" xfId="1001" builtinId="8" hidden="1"/>
    <cellStyle name="Link" xfId="1003" builtinId="8" hidden="1"/>
    <cellStyle name="Link" xfId="1005" builtinId="8" hidden="1"/>
    <cellStyle name="Link" xfId="1007" builtinId="8" hidden="1"/>
    <cellStyle name="Link" xfId="1009" builtinId="8" hidden="1"/>
    <cellStyle name="Link" xfId="1011" builtinId="8" hidden="1"/>
    <cellStyle name="Link" xfId="1013" builtinId="8" hidden="1"/>
    <cellStyle name="Link" xfId="1015" builtinId="8" hidden="1"/>
    <cellStyle name="Link" xfId="1017" builtinId="8" hidden="1"/>
    <cellStyle name="Link" xfId="1019" builtinId="8" hidden="1"/>
    <cellStyle name="Link" xfId="1021" builtinId="8" hidden="1"/>
    <cellStyle name="Link" xfId="1023" builtinId="8" hidden="1"/>
    <cellStyle name="Link" xfId="1025" builtinId="8" hidden="1"/>
    <cellStyle name="Link" xfId="1027" builtinId="8" hidden="1"/>
    <cellStyle name="Link" xfId="1029" builtinId="8" hidden="1"/>
    <cellStyle name="Link" xfId="1031" builtinId="8" hidden="1"/>
    <cellStyle name="Link" xfId="1033" builtinId="8" hidden="1"/>
    <cellStyle name="Link" xfId="1035" builtinId="8" hidden="1"/>
    <cellStyle name="Link" xfId="1037" builtinId="8" hidden="1"/>
    <cellStyle name="Link" xfId="1039" builtinId="8" hidden="1"/>
    <cellStyle name="Link" xfId="1041" builtinId="8" hidden="1"/>
    <cellStyle name="Link" xfId="1043" builtinId="8" hidden="1"/>
    <cellStyle name="Link" xfId="1045" builtinId="8" hidden="1"/>
    <cellStyle name="Link" xfId="1047" builtinId="8" hidden="1"/>
    <cellStyle name="Link" xfId="1049" builtinId="8" hidden="1"/>
    <cellStyle name="Link" xfId="1051" builtinId="8" hidden="1"/>
    <cellStyle name="Link" xfId="1053" builtinId="8" hidden="1"/>
    <cellStyle name="Link" xfId="1055" builtinId="8" hidden="1"/>
    <cellStyle name="Link" xfId="1057" builtinId="8" hidden="1"/>
    <cellStyle name="Link" xfId="1059" builtinId="8" hidden="1"/>
    <cellStyle name="Link" xfId="1061" builtinId="8" hidden="1"/>
    <cellStyle name="Link" xfId="1063" builtinId="8" hidden="1"/>
    <cellStyle name="Link" xfId="1065" builtinId="8" hidden="1"/>
    <cellStyle name="Link" xfId="1067" builtinId="8" hidden="1"/>
    <cellStyle name="Link" xfId="1069" builtinId="8" hidden="1"/>
    <cellStyle name="Link" xfId="1071" builtinId="8" hidden="1"/>
    <cellStyle name="Link" xfId="1073" builtinId="8" hidden="1"/>
    <cellStyle name="Link" xfId="1075" builtinId="8" hidden="1"/>
    <cellStyle name="Link" xfId="1077" builtinId="8" hidden="1"/>
    <cellStyle name="Link" xfId="1079" builtinId="8" hidden="1"/>
    <cellStyle name="Link" xfId="1081" builtinId="8" hidden="1"/>
    <cellStyle name="Link" xfId="1083" builtinId="8" hidden="1"/>
    <cellStyle name="Link" xfId="1085" builtinId="8" hidden="1"/>
    <cellStyle name="Link" xfId="1087" builtinId="8" hidden="1"/>
    <cellStyle name="Link" xfId="1089" builtinId="8" hidden="1"/>
    <cellStyle name="Link" xfId="1091" builtinId="8" hidden="1"/>
    <cellStyle name="Link" xfId="1093" builtinId="8" hidden="1"/>
    <cellStyle name="Link" xfId="1095" builtinId="8" hidden="1"/>
    <cellStyle name="Link" xfId="1097" builtinId="8" hidden="1"/>
    <cellStyle name="Link" xfId="1099" builtinId="8" hidden="1"/>
    <cellStyle name="Link" xfId="1101" builtinId="8" hidden="1"/>
    <cellStyle name="Link" xfId="1103" builtinId="8" hidden="1"/>
    <cellStyle name="Link" xfId="1105" builtinId="8" hidden="1"/>
    <cellStyle name="Link" xfId="1107" builtinId="8" hidden="1"/>
    <cellStyle name="Link" xfId="1109" builtinId="8" hidden="1"/>
    <cellStyle name="Link" xfId="1111" builtinId="8" hidden="1"/>
    <cellStyle name="Link" xfId="1113" builtinId="8" hidden="1"/>
    <cellStyle name="Link" xfId="1115" builtinId="8" hidden="1"/>
    <cellStyle name="Link" xfId="1117" builtinId="8" hidden="1"/>
    <cellStyle name="Link" xfId="1119" builtinId="8" hidden="1"/>
    <cellStyle name="Link" xfId="1121" builtinId="8" hidden="1"/>
    <cellStyle name="Link" xfId="1123" builtinId="8" hidden="1"/>
    <cellStyle name="Link" xfId="1125" builtinId="8" hidden="1"/>
    <cellStyle name="Link" xfId="1127" builtinId="8" hidden="1"/>
    <cellStyle name="Link" xfId="1129" builtinId="8" hidden="1"/>
    <cellStyle name="Link" xfId="1131" builtinId="8" hidden="1"/>
    <cellStyle name="Link" xfId="1133" builtinId="8" hidden="1"/>
    <cellStyle name="Link" xfId="1135" builtinId="8" hidden="1"/>
    <cellStyle name="Link" xfId="1137" builtinId="8" hidden="1"/>
    <cellStyle name="Link" xfId="1139" builtinId="8" hidden="1"/>
    <cellStyle name="Link" xfId="1141" builtinId="8" hidden="1"/>
    <cellStyle name="Link" xfId="1143" builtinId="8" hidden="1"/>
    <cellStyle name="Link" xfId="1145" builtinId="8" hidden="1"/>
    <cellStyle name="Link" xfId="1147" builtinId="8" hidden="1"/>
    <cellStyle name="Link" xfId="1149" builtinId="8" hidden="1"/>
    <cellStyle name="Link" xfId="1151" builtinId="8" hidden="1"/>
    <cellStyle name="Link" xfId="1153" builtinId="8" hidden="1"/>
    <cellStyle name="Link" xfId="1155" builtinId="8" hidden="1"/>
    <cellStyle name="Link" xfId="1157" builtinId="8" hidden="1"/>
    <cellStyle name="Link" xfId="1159" builtinId="8" hidden="1"/>
    <cellStyle name="Link" xfId="1161" builtinId="8" hidden="1"/>
    <cellStyle name="Link" xfId="1163" builtinId="8" hidden="1"/>
    <cellStyle name="Link" xfId="1165" builtinId="8" hidden="1"/>
    <cellStyle name="Link" xfId="1167" builtinId="8" hidden="1"/>
    <cellStyle name="Link" xfId="1169" builtinId="8" hidden="1"/>
    <cellStyle name="Link" xfId="1171" builtinId="8" hidden="1"/>
    <cellStyle name="Link" xfId="1173" builtinId="8" hidden="1"/>
    <cellStyle name="Link" xfId="1175" builtinId="8" hidden="1"/>
    <cellStyle name="Link" xfId="1177" builtinId="8" hidden="1"/>
    <cellStyle name="Link" xfId="1179" builtinId="8" hidden="1"/>
    <cellStyle name="Link" xfId="1181" builtinId="8" hidden="1"/>
    <cellStyle name="Link" xfId="1183" builtinId="8" hidden="1"/>
    <cellStyle name="Link" xfId="1185" builtinId="8" hidden="1"/>
    <cellStyle name="Link" xfId="1187" builtinId="8" hidden="1"/>
    <cellStyle name="Link" xfId="1189" builtinId="8" hidden="1"/>
    <cellStyle name="Link" xfId="1191" builtinId="8" hidden="1"/>
    <cellStyle name="Link" xfId="1193" builtinId="8" hidden="1"/>
    <cellStyle name="Link" xfId="1195" builtinId="8" hidden="1"/>
    <cellStyle name="Link" xfId="1197" builtinId="8" hidden="1"/>
    <cellStyle name="Link" xfId="1199" builtinId="8" hidden="1"/>
    <cellStyle name="Link" xfId="1201" builtinId="8" hidden="1"/>
    <cellStyle name="Link" xfId="1203" builtinId="8" hidden="1"/>
    <cellStyle name="Link" xfId="1205" builtinId="8" hidden="1"/>
    <cellStyle name="Link" xfId="1207" builtinId="8" hidden="1"/>
    <cellStyle name="Link" xfId="1209" builtinId="8" hidden="1"/>
    <cellStyle name="Link" xfId="1211" builtinId="8" hidden="1"/>
    <cellStyle name="Link" xfId="1213" builtinId="8" hidden="1"/>
    <cellStyle name="Link" xfId="1215" builtinId="8" hidden="1"/>
    <cellStyle name="Link" xfId="1217" builtinId="8" hidden="1"/>
    <cellStyle name="Link" xfId="1219" builtinId="8" hidden="1"/>
    <cellStyle name="Link" xfId="1221" builtinId="8" hidden="1"/>
    <cellStyle name="Link" xfId="1223" builtinId="8" hidden="1"/>
    <cellStyle name="Link" xfId="1225" builtinId="8" hidden="1"/>
    <cellStyle name="Link" xfId="1227" builtinId="8" hidden="1"/>
    <cellStyle name="Link" xfId="1229" builtinId="8" hidden="1"/>
    <cellStyle name="Link" xfId="1231" builtinId="8" hidden="1"/>
    <cellStyle name="Link" xfId="1233" builtinId="8" hidden="1"/>
    <cellStyle name="Link" xfId="1235" builtinId="8" hidden="1"/>
    <cellStyle name="Link" xfId="1237" builtinId="8" hidden="1"/>
    <cellStyle name="Link" xfId="1239" builtinId="8" hidden="1"/>
    <cellStyle name="Link" xfId="1241" builtinId="8" hidden="1"/>
    <cellStyle name="Link" xfId="1243" builtinId="8" hidden="1"/>
    <cellStyle name="Link" xfId="1245" builtinId="8" hidden="1"/>
    <cellStyle name="Link" xfId="1247" builtinId="8" hidden="1"/>
    <cellStyle name="Link" xfId="1249" builtinId="8" hidden="1"/>
    <cellStyle name="Link" xfId="1251" builtinId="8" hidden="1"/>
    <cellStyle name="Link" xfId="1253" builtinId="8" hidden="1"/>
    <cellStyle name="Link" xfId="1255" builtinId="8" hidden="1"/>
    <cellStyle name="Link" xfId="1257" builtinId="8" hidden="1"/>
    <cellStyle name="Link" xfId="1259" builtinId="8" hidden="1"/>
    <cellStyle name="Link" xfId="1261" builtinId="8" hidden="1"/>
    <cellStyle name="Link" xfId="1263" builtinId="8" hidden="1"/>
    <cellStyle name="Link" xfId="1265" builtinId="8" hidden="1"/>
    <cellStyle name="Link" xfId="1267" builtinId="8" hidden="1"/>
    <cellStyle name="Link" xfId="1269" builtinId="8" hidden="1"/>
    <cellStyle name="Link" xfId="1271" builtinId="8" hidden="1"/>
    <cellStyle name="Link" xfId="1273" builtinId="8" hidden="1"/>
    <cellStyle name="Link" xfId="1275" builtinId="8" hidden="1"/>
    <cellStyle name="Link" xfId="1277" builtinId="8" hidden="1"/>
    <cellStyle name="Link" xfId="1279" builtinId="8" hidden="1"/>
    <cellStyle name="Link" xfId="1281" builtinId="8" hidden="1"/>
    <cellStyle name="Link" xfId="1283" builtinId="8" hidden="1"/>
    <cellStyle name="Link" xfId="1285" builtinId="8" hidden="1"/>
    <cellStyle name="Link" xfId="1287" builtinId="8" hidden="1"/>
    <cellStyle name="Link" xfId="1289" builtinId="8" hidden="1"/>
    <cellStyle name="Link" xfId="1291" builtinId="8" hidden="1"/>
    <cellStyle name="Link" xfId="1293" builtinId="8" hidden="1"/>
    <cellStyle name="Link" xfId="1295" builtinId="8" hidden="1"/>
    <cellStyle name="Link" xfId="1297" builtinId="8" hidden="1"/>
    <cellStyle name="Link" xfId="1299" builtinId="8" hidden="1"/>
    <cellStyle name="Link" xfId="1301" builtinId="8" hidden="1"/>
    <cellStyle name="Link" xfId="1303" builtinId="8" hidden="1"/>
    <cellStyle name="Link" xfId="1305" builtinId="8" hidden="1"/>
    <cellStyle name="Link" xfId="1307" builtinId="8" hidden="1"/>
    <cellStyle name="Link" xfId="1309" builtinId="8" hidden="1"/>
    <cellStyle name="Link" xfId="1311" builtinId="8" hidden="1"/>
    <cellStyle name="Link" xfId="1313" builtinId="8" hidden="1"/>
    <cellStyle name="Link" xfId="1315" builtinId="8" hidden="1"/>
    <cellStyle name="Link" xfId="1317" builtinId="8" hidden="1"/>
    <cellStyle name="Link" xfId="1319" builtinId="8" hidden="1"/>
    <cellStyle name="Link" xfId="1321" builtinId="8" hidden="1"/>
    <cellStyle name="Link" xfId="1323" builtinId="8" hidden="1"/>
    <cellStyle name="Link" xfId="1325" builtinId="8" hidden="1"/>
    <cellStyle name="Link" xfId="1327" builtinId="8" hidden="1"/>
    <cellStyle name="Link" xfId="1329" builtinId="8" hidden="1"/>
    <cellStyle name="Link" xfId="1331" builtinId="8" hidden="1"/>
    <cellStyle name="Link" xfId="1333" builtinId="8" hidden="1"/>
    <cellStyle name="Link" xfId="1335" builtinId="8" hidden="1"/>
    <cellStyle name="Link" xfId="1337" builtinId="8" hidden="1"/>
    <cellStyle name="Link" xfId="1339" builtinId="8" hidden="1"/>
    <cellStyle name="Link" xfId="1341" builtinId="8" hidden="1"/>
    <cellStyle name="Link" xfId="1343" builtinId="8" hidden="1"/>
    <cellStyle name="Link" xfId="1345" builtinId="8" hidden="1"/>
    <cellStyle name="Link" xfId="1347" builtinId="8" hidden="1"/>
    <cellStyle name="Link" xfId="1349" builtinId="8" hidden="1"/>
    <cellStyle name="Link" xfId="1351" builtinId="8" hidden="1"/>
    <cellStyle name="Link" xfId="1353" builtinId="8" hidden="1"/>
    <cellStyle name="Link" xfId="1355" builtinId="8" hidden="1"/>
    <cellStyle name="Link" xfId="1357" builtinId="8" hidden="1"/>
    <cellStyle name="Link" xfId="1359" builtinId="8" hidden="1"/>
    <cellStyle name="Link" xfId="1361" builtinId="8" hidden="1"/>
    <cellStyle name="Link" xfId="1363" builtinId="8" hidden="1"/>
    <cellStyle name="Link" xfId="1365" builtinId="8" hidden="1"/>
    <cellStyle name="Link" xfId="1367" builtinId="8" hidden="1"/>
    <cellStyle name="Link" xfId="1369" builtinId="8" hidden="1"/>
    <cellStyle name="Link" xfId="1371" builtinId="8" hidden="1"/>
    <cellStyle name="Link" xfId="1373" builtinId="8" hidden="1"/>
    <cellStyle name="Link" xfId="1375" builtinId="8" hidden="1"/>
    <cellStyle name="Link" xfId="1377" builtinId="8" hidden="1"/>
    <cellStyle name="Link" xfId="1379" builtinId="8" hidden="1"/>
    <cellStyle name="Link" xfId="1381" builtinId="8" hidden="1"/>
    <cellStyle name="Link" xfId="1383" builtinId="8" hidden="1"/>
    <cellStyle name="Link" xfId="1385" builtinId="8" hidden="1"/>
    <cellStyle name="Link" xfId="1387" builtinId="8" hidden="1"/>
    <cellStyle name="Link" xfId="1389" builtinId="8" hidden="1"/>
    <cellStyle name="Link" xfId="1391" builtinId="8" hidden="1"/>
    <cellStyle name="Link" xfId="1393" builtinId="8" hidden="1"/>
    <cellStyle name="Link" xfId="1395" builtinId="8" hidden="1"/>
    <cellStyle name="Link" xfId="1397" builtinId="8" hidden="1"/>
    <cellStyle name="Link" xfId="1399" builtinId="8" hidden="1"/>
    <cellStyle name="Link" xfId="1401" builtinId="8" hidden="1"/>
    <cellStyle name="Link" xfId="1403" builtinId="8" hidden="1"/>
    <cellStyle name="Link" xfId="1405" builtinId="8" hidden="1"/>
    <cellStyle name="Link" xfId="1407" builtinId="8" hidden="1"/>
    <cellStyle name="Link" xfId="1409" builtinId="8" hidden="1"/>
    <cellStyle name="Link" xfId="1411" builtinId="8" hidden="1"/>
    <cellStyle name="Link" xfId="1413" builtinId="8" hidden="1"/>
    <cellStyle name="Link" xfId="1415" builtinId="8" hidden="1"/>
    <cellStyle name="Link" xfId="1417" builtinId="8" hidden="1"/>
    <cellStyle name="Link" xfId="1419" builtinId="8" hidden="1"/>
    <cellStyle name="Link" xfId="1421" builtinId="8" hidden="1"/>
    <cellStyle name="Link" xfId="1423" builtinId="8" hidden="1"/>
    <cellStyle name="Link" xfId="1425" builtinId="8" hidden="1"/>
    <cellStyle name="Link" xfId="1427" builtinId="8" hidden="1"/>
    <cellStyle name="Link" xfId="1429" builtinId="8" hidden="1"/>
    <cellStyle name="Link" xfId="1431" builtinId="8" hidden="1"/>
    <cellStyle name="Link" xfId="1433" builtinId="8" hidden="1"/>
    <cellStyle name="Link" xfId="1435" builtinId="8" hidden="1"/>
    <cellStyle name="Link" xfId="1437" builtinId="8" hidden="1"/>
    <cellStyle name="Link" xfId="1439" builtinId="8" hidden="1"/>
    <cellStyle name="Link" xfId="1441" builtinId="8" hidden="1"/>
    <cellStyle name="Link" xfId="1443" builtinId="8" hidden="1"/>
    <cellStyle name="Link" xfId="1445" builtinId="8" hidden="1"/>
    <cellStyle name="Link" xfId="1447" builtinId="8" hidden="1"/>
    <cellStyle name="Link" xfId="1449" builtinId="8" hidden="1"/>
    <cellStyle name="Link" xfId="1451" builtinId="8" hidden="1"/>
    <cellStyle name="Link" xfId="1453" builtinId="8" hidden="1"/>
    <cellStyle name="Link" xfId="1455" builtinId="8" hidden="1"/>
    <cellStyle name="Link" xfId="1457" builtinId="8" hidden="1"/>
    <cellStyle name="Link" xfId="1459" builtinId="8" hidden="1"/>
    <cellStyle name="Link" xfId="1461" builtinId="8" hidden="1"/>
    <cellStyle name="Link" xfId="1463" builtinId="8" hidden="1"/>
    <cellStyle name="Link" xfId="1465" builtinId="8" hidden="1"/>
    <cellStyle name="Link" xfId="1467" builtinId="8" hidden="1"/>
    <cellStyle name="Link" xfId="1469" builtinId="8" hidden="1"/>
    <cellStyle name="Link" xfId="1471" builtinId="8" hidden="1"/>
    <cellStyle name="Link" xfId="1473" builtinId="8" hidden="1"/>
    <cellStyle name="Link" xfId="1475" builtinId="8" hidden="1"/>
    <cellStyle name="Link" xfId="1477" builtinId="8" hidden="1"/>
    <cellStyle name="Link" xfId="1479" builtinId="8" hidden="1"/>
    <cellStyle name="Link" xfId="1481" builtinId="8" hidden="1"/>
    <cellStyle name="Link" xfId="1483" builtinId="8" hidden="1"/>
    <cellStyle name="Link" xfId="1485" builtinId="8" hidden="1"/>
    <cellStyle name="Link" xfId="1487" builtinId="8" hidden="1"/>
    <cellStyle name="Link" xfId="1489" builtinId="8" hidden="1"/>
    <cellStyle name="Link" xfId="1491" builtinId="8" hidden="1"/>
    <cellStyle name="Link" xfId="1493" builtinId="8" hidden="1"/>
    <cellStyle name="Link" xfId="1495" builtinId="8" hidden="1"/>
    <cellStyle name="Link" xfId="1497" builtinId="8" hidden="1"/>
    <cellStyle name="Link" xfId="1499" builtinId="8" hidden="1"/>
    <cellStyle name="Link" xfId="1501" builtinId="8" hidden="1"/>
    <cellStyle name="Link" xfId="1503" builtinId="8" hidden="1"/>
    <cellStyle name="Link" xfId="1505" builtinId="8" hidden="1"/>
    <cellStyle name="Link" xfId="1507" builtinId="8" hidden="1"/>
    <cellStyle name="Link" xfId="1509" builtinId="8" hidden="1"/>
    <cellStyle name="Link" xfId="1511" builtinId="8" hidden="1"/>
    <cellStyle name="Link" xfId="1513" builtinId="8" hidden="1"/>
    <cellStyle name="Link" xfId="1515" builtinId="8" hidden="1"/>
    <cellStyle name="Link" xfId="1517" builtinId="8" hidden="1"/>
    <cellStyle name="Link" xfId="1519" builtinId="8" hidden="1"/>
    <cellStyle name="Link" xfId="1521" builtinId="8" hidden="1"/>
    <cellStyle name="Link" xfId="1523" builtinId="8" hidden="1"/>
    <cellStyle name="Link" xfId="1525" builtinId="8" hidden="1"/>
    <cellStyle name="Link" xfId="1527" builtinId="8" hidden="1"/>
    <cellStyle name="Link" xfId="1531" builtinId="8" hidden="1"/>
    <cellStyle name="Link" xfId="1533" builtinId="8" hidden="1"/>
    <cellStyle name="Link" xfId="1535" builtinId="8" hidden="1"/>
    <cellStyle name="Link" xfId="1537" builtinId="8" hidden="1"/>
    <cellStyle name="Link" xfId="1539" builtinId="8" hidden="1"/>
    <cellStyle name="Link" xfId="1541" builtinId="8" hidden="1"/>
    <cellStyle name="Link" xfId="1543" builtinId="8" hidden="1"/>
    <cellStyle name="Link" xfId="1545" builtinId="8" hidden="1"/>
    <cellStyle name="Link" xfId="1547" builtinId="8" hidden="1"/>
    <cellStyle name="Link" xfId="1549" builtinId="8" hidden="1"/>
    <cellStyle name="Link" xfId="1551" builtinId="8" hidden="1"/>
    <cellStyle name="Link" xfId="1553" builtinId="8" hidden="1"/>
    <cellStyle name="Link" xfId="1555" builtinId="8" hidden="1"/>
    <cellStyle name="Link" xfId="1557" builtinId="8"/>
    <cellStyle name="Prozent" xfId="3" builtinId="5"/>
    <cellStyle name="Prozent 2" xfId="4" xr:uid="{00000000-0005-0000-0000-000012060000}"/>
    <cellStyle name="Prozent 2 2" xfId="1529" xr:uid="{00000000-0005-0000-0000-000013060000}"/>
    <cellStyle name="Standard" xfId="0" builtinId="0" customBuiltin="1"/>
  </cellStyles>
  <dxfs count="33">
    <dxf>
      <fill>
        <patternFill>
          <bgColor indexed="42"/>
        </patternFill>
      </fill>
    </dxf>
    <dxf>
      <fill>
        <patternFill>
          <fgColor indexed="29"/>
          <bgColor indexed="51"/>
        </patternFill>
      </fill>
    </dxf>
    <dxf>
      <fill>
        <patternFill>
          <bgColor indexed="42"/>
        </patternFill>
      </fill>
    </dxf>
    <dxf>
      <fill>
        <patternFill>
          <fgColor indexed="29"/>
          <bgColor indexed="51"/>
        </patternFill>
      </fill>
    </dxf>
    <dxf>
      <font>
        <color theme="1"/>
      </font>
      <fill>
        <patternFill>
          <bgColor rgb="FFFFFF99"/>
        </patternFill>
      </fill>
    </dxf>
    <dxf>
      <font>
        <color theme="1"/>
      </font>
      <fill>
        <patternFill>
          <bgColor rgb="FFFFFF99"/>
        </patternFill>
      </fill>
    </dxf>
    <dxf>
      <font>
        <color theme="1"/>
      </font>
      <fill>
        <patternFill>
          <bgColor rgb="FFFFFF99"/>
        </patternFill>
      </fill>
    </dxf>
    <dxf>
      <fill>
        <patternFill>
          <bgColor indexed="42"/>
        </patternFill>
      </fill>
    </dxf>
    <dxf>
      <fill>
        <patternFill>
          <fgColor indexed="29"/>
          <bgColor indexed="51"/>
        </patternFill>
      </fill>
    </dxf>
    <dxf>
      <fill>
        <patternFill>
          <bgColor indexed="42"/>
        </patternFill>
      </fill>
    </dxf>
    <dxf>
      <fill>
        <patternFill>
          <fgColor indexed="29"/>
          <bgColor indexed="51"/>
        </patternFill>
      </fill>
    </dxf>
    <dxf>
      <fill>
        <patternFill>
          <bgColor indexed="42"/>
        </patternFill>
      </fill>
    </dxf>
    <dxf>
      <fill>
        <patternFill>
          <fgColor indexed="29"/>
          <bgColor indexed="51"/>
        </patternFill>
      </fill>
    </dxf>
    <dxf>
      <fill>
        <patternFill>
          <bgColor indexed="42"/>
        </patternFill>
      </fill>
    </dxf>
    <dxf>
      <fill>
        <patternFill>
          <fgColor indexed="29"/>
          <bgColor indexed="5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theme="6" tint="-0.499984740745262"/>
      </font>
      <fill>
        <patternFill patternType="none">
          <bgColor auto="1"/>
        </patternFill>
      </fill>
    </dxf>
    <dxf>
      <font>
        <color theme="5" tint="-0.499984740745262"/>
      </font>
      <fill>
        <patternFill patternType="none">
          <bgColor auto="1"/>
        </patternFill>
      </fill>
    </dxf>
    <dxf>
      <font>
        <color theme="6" tint="-0.499984740745262"/>
      </font>
      <fill>
        <patternFill patternType="none">
          <bgColor auto="1"/>
        </patternFill>
      </fill>
    </dxf>
    <dxf>
      <font>
        <color theme="5" tint="-0.499984740745262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theme="6" tint="-0.499984740745262"/>
      </font>
      <fill>
        <patternFill patternType="none">
          <bgColor auto="1"/>
        </patternFill>
      </fill>
    </dxf>
    <dxf>
      <font>
        <color theme="5" tint="-0.499984740745262"/>
      </font>
      <fill>
        <patternFill patternType="none">
          <bgColor auto="1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FDD2"/>
      <color rgb="FF0432FF"/>
      <color rgb="FFFDFF97"/>
      <color rgb="FFF5FF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0808096715183328"/>
          <c:y val="4.253246753246753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2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23232323232323"/>
          <c:y val="0.153571696379214"/>
          <c:w val="0.85656613377873203"/>
          <c:h val="0.732144133900903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Kennzahlen'!$C$9</c:f>
              <c:strCache>
                <c:ptCount val="1"/>
                <c:pt idx="0">
                  <c:v>Selbstfinanzierung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Kennzahlen'!$H$9:$O$9</c:f>
              <c:numCache>
                <c:formatCode>#,##0</c:formatCode>
                <c:ptCount val="8"/>
                <c:pt idx="0" formatCode="General">
                  <c:v>3296</c:v>
                </c:pt>
                <c:pt idx="1">
                  <c:v>819</c:v>
                </c:pt>
                <c:pt idx="2">
                  <c:v>1070</c:v>
                </c:pt>
                <c:pt idx="3">
                  <c:v>1171.3624999999993</c:v>
                </c:pt>
                <c:pt idx="4">
                  <c:v>1243.627255750002</c:v>
                </c:pt>
                <c:pt idx="5">
                  <c:v>1321.8837490036524</c:v>
                </c:pt>
                <c:pt idx="6">
                  <c:v>1434.1802030833985</c:v>
                </c:pt>
                <c:pt idx="7">
                  <c:v>1652.2707603423937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D7-4742-BE6C-D5566F7C6F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4735712"/>
        <c:axId val="-1884733936"/>
      </c:barChart>
      <c:catAx>
        <c:axId val="-188473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7339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47339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8.0808080808080808E-3"/>
              <c:y val="0.3750005624296959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735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4921259845" footer="0.492125984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37525264431766"/>
          <c:y val="3.214285714285709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27744386476669"/>
          <c:y val="0.14642882678018099"/>
          <c:w val="0.84830256644663204"/>
          <c:h val="0.735715568700419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Kennzahlen'!$C$11</c:f>
              <c:strCache>
                <c:ptCount val="1"/>
                <c:pt idx="0">
                  <c:v>Veränderung der Nettoschuld kumuliert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Kennzahlen'!$H$11:$O$11</c:f>
              <c:numCache>
                <c:formatCode>#,##0</c:formatCode>
                <c:ptCount val="8"/>
                <c:pt idx="0">
                  <c:v>-1218</c:v>
                </c:pt>
                <c:pt idx="1">
                  <c:v>33</c:v>
                </c:pt>
                <c:pt idx="2">
                  <c:v>1773</c:v>
                </c:pt>
                <c:pt idx="3">
                  <c:v>4046.6375000000007</c:v>
                </c:pt>
                <c:pt idx="4">
                  <c:v>6248.0102442499992</c:v>
                </c:pt>
                <c:pt idx="5">
                  <c:v>7776.1264952463471</c:v>
                </c:pt>
                <c:pt idx="6">
                  <c:v>8221.9462921629492</c:v>
                </c:pt>
                <c:pt idx="7">
                  <c:v>7829.675531820556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9E-7342-AFE0-5B371D2C7D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5235984"/>
        <c:axId val="-1885233936"/>
      </c:barChart>
      <c:catAx>
        <c:axId val="-188523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52339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52339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2.59481037924152E-2"/>
              <c:y val="0.39285770528683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5235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582995951417004"/>
          <c:y val="3.538961038961039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7773279352227"/>
          <c:y val="0.13571452238163101"/>
          <c:w val="0.82793522267206499"/>
          <c:h val="0.746429873098969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Kennzahlen'!$C$12</c:f>
              <c:strCache>
                <c:ptCount val="1"/>
                <c:pt idx="0">
                  <c:v>Nettoschuld Ende Jahr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Kennzahlen'!$H$12:$O$12</c:f>
              <c:numCache>
                <c:formatCode>#,##0</c:formatCode>
                <c:ptCount val="8"/>
                <c:pt idx="0">
                  <c:v>-546</c:v>
                </c:pt>
                <c:pt idx="1">
                  <c:v>705</c:v>
                </c:pt>
                <c:pt idx="2">
                  <c:v>2445</c:v>
                </c:pt>
                <c:pt idx="3">
                  <c:v>4718.6375000000007</c:v>
                </c:pt>
                <c:pt idx="4">
                  <c:v>6920.0102442499992</c:v>
                </c:pt>
                <c:pt idx="5">
                  <c:v>8448.1264952463462</c:v>
                </c:pt>
                <c:pt idx="6">
                  <c:v>8893.9462921629474</c:v>
                </c:pt>
                <c:pt idx="7">
                  <c:v>8501.6755318205542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D4-0B46-9F20-F154DA441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4969152"/>
        <c:axId val="-1884967104"/>
      </c:barChart>
      <c:catAx>
        <c:axId val="-188496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967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49671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2.6315789473684199E-2"/>
              <c:y val="0.39285770528683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969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52525411596278"/>
          <c:y val="3.214285714285709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2929299306196401"/>
          <c:y val="0.14285739198066399"/>
          <c:w val="0.84848526696913795"/>
          <c:h val="0.739287003499936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Kennzahlen'!$C$10</c:f>
              <c:strCache>
                <c:ptCount val="1"/>
                <c:pt idx="0">
                  <c:v>Finanzierungsfehlbetrag (+) / -überschuss (-)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Kennzahlen'!$H$10:$O$10</c:f>
              <c:numCache>
                <c:formatCode>#,##0</c:formatCode>
                <c:ptCount val="8"/>
                <c:pt idx="0">
                  <c:v>-1218</c:v>
                </c:pt>
                <c:pt idx="1">
                  <c:v>1251</c:v>
                </c:pt>
                <c:pt idx="2">
                  <c:v>1740</c:v>
                </c:pt>
                <c:pt idx="3">
                  <c:v>2273.6375000000007</c:v>
                </c:pt>
                <c:pt idx="4">
                  <c:v>2201.372744249998</c:v>
                </c:pt>
                <c:pt idx="5">
                  <c:v>1528.1162509963476</c:v>
                </c:pt>
                <c:pt idx="6">
                  <c:v>445.81979691660149</c:v>
                </c:pt>
                <c:pt idx="7">
                  <c:v>-392.27076034239371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F0-9E4B-A077-7611357F5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5006352"/>
        <c:axId val="-1885004304"/>
      </c:barChart>
      <c:catAx>
        <c:axId val="-188500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5004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50043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2.62626262626263E-2"/>
              <c:y val="0.39285770528683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5006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47984188468377"/>
          <c:y val="3.92857142857142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2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1523844297689"/>
          <c:y val="0.16428600077776401"/>
          <c:w val="0.85282353314706605"/>
          <c:h val="0.721429829502353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Kennzahlen'!$C$33</c:f>
              <c:strCache>
                <c:ptCount val="1"/>
                <c:pt idx="0">
                  <c:v>Eigenkapital Ende Jahr (nach Abschluss)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Kennzahlen'!$H$33:$O$33</c:f>
              <c:numCache>
                <c:formatCode>#,##0</c:formatCode>
                <c:ptCount val="8"/>
                <c:pt idx="0">
                  <c:v>23708</c:v>
                </c:pt>
                <c:pt idx="1">
                  <c:v>23323</c:v>
                </c:pt>
                <c:pt idx="2">
                  <c:v>23005</c:v>
                </c:pt>
                <c:pt idx="3">
                  <c:v>22910.362499999999</c:v>
                </c:pt>
                <c:pt idx="4">
                  <c:v>22805.109452719698</c:v>
                </c:pt>
                <c:pt idx="5">
                  <c:v>22706.067444147593</c:v>
                </c:pt>
                <c:pt idx="6">
                  <c:v>22625.276435109779</c:v>
                </c:pt>
                <c:pt idx="7">
                  <c:v>22772.050225755203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4-CA40-B771-BA3133B09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21020784"/>
        <c:axId val="-1320772016"/>
      </c:barChart>
      <c:catAx>
        <c:axId val="-132102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20772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3207720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8.0645161290322596E-3"/>
              <c:y val="0.3785719910011249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21020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1187154422598584"/>
          <c:y val="4.253246753246753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2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4627689505424"/>
          <c:y val="0.15000026157969701"/>
          <c:w val="0.875250864131912"/>
          <c:h val="0.735715568700419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Kennzahlen'!$C$32</c:f>
              <c:strCache>
                <c:ptCount val="1"/>
                <c:pt idx="0">
                  <c:v>Bilanzüberschuss Ende Jahr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Kennzahlen'!$H$32:$O$32</c:f>
              <c:numCache>
                <c:formatCode>#,##0</c:formatCode>
                <c:ptCount val="8"/>
                <c:pt idx="0">
                  <c:v>12950</c:v>
                </c:pt>
                <c:pt idx="1">
                  <c:v>12981</c:v>
                </c:pt>
                <c:pt idx="2">
                  <c:v>12994</c:v>
                </c:pt>
                <c:pt idx="3">
                  <c:v>13219.362499999999</c:v>
                </c:pt>
                <c:pt idx="4">
                  <c:v>13414.109452719698</c:v>
                </c:pt>
                <c:pt idx="5">
                  <c:v>13595.067444147593</c:v>
                </c:pt>
                <c:pt idx="6">
                  <c:v>13774.276435109779</c:v>
                </c:pt>
                <c:pt idx="7">
                  <c:v>14161.050225755203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A-1F41-8EBB-AAACA3554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5625120"/>
        <c:axId val="-1941711776"/>
      </c:barChart>
      <c:catAx>
        <c:axId val="-188562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941711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9417117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8.0482897384305807E-3"/>
              <c:y val="0.3785719910011249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5625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Ergebnis Erfolgsrechnung (vor Abschluss) kumuliert</a:t>
            </a:r>
          </a:p>
        </c:rich>
      </c:tx>
      <c:layout>
        <c:manualLayout>
          <c:xMode val="edge"/>
          <c:yMode val="edge"/>
          <c:x val="0.25656581563668202"/>
          <c:y val="3.9285714285714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05055686284601"/>
          <c:y val="0.153571696379214"/>
          <c:w val="0.87474790618484899"/>
          <c:h val="0.732144133900903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Kennzahlen'!$C$31</c:f>
              <c:strCache>
                <c:ptCount val="1"/>
                <c:pt idx="0">
                  <c:v>Ergebnis Laufende Rechnung kumuliert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Kennzahlen'!$H$31:$O$31</c:f>
              <c:numCache>
                <c:formatCode>#,##0</c:formatCode>
                <c:ptCount val="8"/>
                <c:pt idx="0" formatCode="General">
                  <c:v>2800</c:v>
                </c:pt>
                <c:pt idx="1">
                  <c:v>2831</c:v>
                </c:pt>
                <c:pt idx="2">
                  <c:v>2844</c:v>
                </c:pt>
                <c:pt idx="3">
                  <c:v>3069.3624999999993</c:v>
                </c:pt>
                <c:pt idx="4">
                  <c:v>3264.1094527196983</c:v>
                </c:pt>
                <c:pt idx="5">
                  <c:v>3445.0674441475931</c:v>
                </c:pt>
                <c:pt idx="6">
                  <c:v>3624.2764351097794</c:v>
                </c:pt>
                <c:pt idx="7">
                  <c:v>4011.0502257552034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14-1747-8FF7-4E329C377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6299808"/>
        <c:axId val="-1886006896"/>
      </c:barChart>
      <c:catAx>
        <c:axId val="-18862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60068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60068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8.0808080808080808E-3"/>
              <c:y val="0.3785719910011249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6299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Ergebnis Erfolgsrechnung (vor Abschluss)</a:t>
            </a:r>
          </a:p>
        </c:rich>
      </c:tx>
      <c:layout>
        <c:manualLayout>
          <c:xMode val="edge"/>
          <c:yMode val="edge"/>
          <c:x val="0.21052631578947401"/>
          <c:y val="3.9285714285714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190283400809695E-2"/>
          <c:y val="0.14285739198066399"/>
          <c:w val="0.88056680161943301"/>
          <c:h val="0.742858438299452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Kennzahlen'!$C$29</c:f>
              <c:strCache>
                <c:ptCount val="1"/>
                <c:pt idx="0">
                  <c:v>Ergebnis Laufenden Rechnung (vor Abschluss)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Kennzahlen'!$H$29:$O$29</c:f>
              <c:numCache>
                <c:formatCode>#,##0</c:formatCode>
                <c:ptCount val="8"/>
                <c:pt idx="0" formatCode="General">
                  <c:v>2800</c:v>
                </c:pt>
                <c:pt idx="1">
                  <c:v>31</c:v>
                </c:pt>
                <c:pt idx="2">
                  <c:v>13</c:v>
                </c:pt>
                <c:pt idx="3">
                  <c:v>225.36249999999927</c:v>
                </c:pt>
                <c:pt idx="4">
                  <c:v>194.74695271969904</c:v>
                </c:pt>
                <c:pt idx="5">
                  <c:v>180.95799142789474</c:v>
                </c:pt>
                <c:pt idx="6">
                  <c:v>179.20899096218636</c:v>
                </c:pt>
                <c:pt idx="7">
                  <c:v>386.77379064542401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4A-444A-B841-6BA54386B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941355872"/>
        <c:axId val="-1941353824"/>
      </c:barChart>
      <c:catAx>
        <c:axId val="-194135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941353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9413538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8.0971659919028306E-3"/>
              <c:y val="0.3821434195725529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941355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Kennzahl b: Selbstfinanzierungsanteil</a:t>
            </a:r>
          </a:p>
        </c:rich>
      </c:tx>
      <c:layout>
        <c:manualLayout>
          <c:xMode val="edge"/>
          <c:yMode val="edge"/>
          <c:x val="0.282828441899308"/>
          <c:y val="3.2142857142857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11165912625"/>
          <c:y val="0.14285739198066399"/>
          <c:w val="0.86666709411847698"/>
          <c:h val="0.710715410573678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Kennzahlen'!$D$40:$E$40</c:f>
              <c:strCache>
                <c:ptCount val="2"/>
                <c:pt idx="0">
                  <c:v>Selbstfinanzierungsanteil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%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Kennzahlen'!$H$40:$O$40</c:f>
              <c:numCache>
                <c:formatCode>0.0%</c:formatCode>
                <c:ptCount val="8"/>
                <c:pt idx="0">
                  <c:v>0.13800000000000001</c:v>
                </c:pt>
                <c:pt idx="1">
                  <c:v>3.8573850791258475E-2</c:v>
                </c:pt>
                <c:pt idx="2">
                  <c:v>4.9242947213401445E-2</c:v>
                </c:pt>
                <c:pt idx="3">
                  <c:v>5.35162083141923E-2</c:v>
                </c:pt>
                <c:pt idx="4">
                  <c:v>5.6517972180522354E-2</c:v>
                </c:pt>
                <c:pt idx="5">
                  <c:v>5.9601825961297303E-2</c:v>
                </c:pt>
                <c:pt idx="6">
                  <c:v>6.4130350004410308E-2</c:v>
                </c:pt>
                <c:pt idx="7">
                  <c:v>7.3060832848401064E-2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91-5D40-A0FF-141946FE0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18821760"/>
        <c:axId val="-1319682224"/>
      </c:barChart>
      <c:lineChart>
        <c:grouping val="standard"/>
        <c:varyColors val="0"/>
        <c:ser>
          <c:idx val="1"/>
          <c:order val="1"/>
          <c:tx>
            <c:v> Untergrenze</c:v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val>
            <c:numRef>
              <c:f>'F6 Kennzahlen'!$H$91:$O$91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91-5D40-A0FF-141946FE050D}"/>
            </c:ext>
          </c:extLst>
        </c:ser>
        <c:ser>
          <c:idx val="2"/>
          <c:order val="2"/>
          <c:tx>
            <c:v> Ø Finanzplanperiode</c:v>
          </c:tx>
          <c:spPr>
            <a:ln w="38100">
              <a:pattFill prst="pct50">
                <a:fgClr>
                  <a:srgbClr val="1FB714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Kennzahlen'!$H$103:$O$103</c:f>
              <c:numCache>
                <c:formatCode>0%</c:formatCode>
                <c:ptCount val="8"/>
                <c:pt idx="0">
                  <c:v>5.9447445884033619E-2</c:v>
                </c:pt>
                <c:pt idx="1">
                  <c:v>5.9447445884033619E-2</c:v>
                </c:pt>
                <c:pt idx="2">
                  <c:v>5.9447445884033619E-2</c:v>
                </c:pt>
                <c:pt idx="3">
                  <c:v>5.9447445884033619E-2</c:v>
                </c:pt>
                <c:pt idx="4">
                  <c:v>5.9447445884033619E-2</c:v>
                </c:pt>
                <c:pt idx="5">
                  <c:v>5.9447445884033619E-2</c:v>
                </c:pt>
                <c:pt idx="6">
                  <c:v>5.9447445884033619E-2</c:v>
                </c:pt>
                <c:pt idx="7">
                  <c:v>5.9447445884033619E-2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91-5D40-A0FF-141946FE0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18821760"/>
        <c:axId val="-1319682224"/>
      </c:lineChart>
      <c:catAx>
        <c:axId val="-131882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19682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3196822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18821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7676783583870201"/>
          <c:y val="0.92500168728908905"/>
          <c:w val="0.53333365147538403"/>
          <c:h val="6.785714285714279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4921259845" footer="0.4921259845"/>
    <c:pageSetup paperSize="0" orientation="landscape" horizontalDpi="-4" verticalDpi="-4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de-DE" b="1"/>
              <a:t>Kennzahl c:  Zinsbelastungsanteil </a:t>
            </a:r>
          </a:p>
        </c:rich>
      </c:tx>
      <c:layout>
        <c:manualLayout>
          <c:xMode val="edge"/>
          <c:yMode val="edge"/>
          <c:x val="0.29979926804924001"/>
          <c:y val="3.2142857142857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579405697314505E-2"/>
          <c:y val="0.139285957181147"/>
          <c:w val="0.88329914794002196"/>
          <c:h val="0.710715410573678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Kennzahlen'!$D$41:$E$41</c:f>
              <c:strCache>
                <c:ptCount val="2"/>
                <c:pt idx="0">
                  <c:v>Zinsbelastungsanteil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%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Kennzahlen'!$H$41:$O$41</c:f>
              <c:numCache>
                <c:formatCode>0.0%</c:formatCode>
                <c:ptCount val="8"/>
                <c:pt idx="0">
                  <c:v>2.5108804820890524E-4</c:v>
                </c:pt>
                <c:pt idx="1">
                  <c:v>1.4129615674453655E-4</c:v>
                </c:pt>
                <c:pt idx="2">
                  <c:v>1.840857839753325E-4</c:v>
                </c:pt>
                <c:pt idx="3">
                  <c:v>2.4499731473805625E-4</c:v>
                </c:pt>
                <c:pt idx="4">
                  <c:v>5.0202428047905145E-4</c:v>
                </c:pt>
                <c:pt idx="5">
                  <c:v>9.9435849410891121E-4</c:v>
                </c:pt>
                <c:pt idx="6">
                  <c:v>1.3277892781281262E-3</c:v>
                </c:pt>
                <c:pt idx="7">
                  <c:v>1.411591298633769E-3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F8-2343-B49A-348CEF8989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0854400"/>
        <c:axId val="-1880852112"/>
      </c:barChart>
      <c:lineChart>
        <c:grouping val="standard"/>
        <c:varyColors val="0"/>
        <c:ser>
          <c:idx val="1"/>
          <c:order val="1"/>
          <c:tx>
            <c:v> Obergrenze</c:v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val>
            <c:numRef>
              <c:f>'F6 Kennzahlen'!$H$92:$O$92</c:f>
              <c:numCache>
                <c:formatCode>0%</c:formatCode>
                <c:ptCount val="8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F8-2343-B49A-348CEF898963}"/>
            </c:ext>
          </c:extLst>
        </c:ser>
        <c:ser>
          <c:idx val="2"/>
          <c:order val="2"/>
          <c:tx>
            <c:v> Ø Finanzplanperiode</c:v>
          </c:tx>
          <c:spPr>
            <a:ln w="38100">
              <a:pattFill prst="pct50">
                <a:fgClr>
                  <a:srgbClr val="1FB714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Kennzahlen'!$H$104:$O$104</c:f>
              <c:numCache>
                <c:formatCode>0%</c:formatCode>
                <c:ptCount val="8"/>
                <c:pt idx="0">
                  <c:v>7.838616038824259E-4</c:v>
                </c:pt>
                <c:pt idx="1">
                  <c:v>7.838616038824259E-4</c:v>
                </c:pt>
                <c:pt idx="2">
                  <c:v>7.838616038824259E-4</c:v>
                </c:pt>
                <c:pt idx="3">
                  <c:v>7.838616038824259E-4</c:v>
                </c:pt>
                <c:pt idx="4">
                  <c:v>7.838616038824259E-4</c:v>
                </c:pt>
                <c:pt idx="5">
                  <c:v>7.838616038824259E-4</c:v>
                </c:pt>
                <c:pt idx="6">
                  <c:v>7.838616038824259E-4</c:v>
                </c:pt>
                <c:pt idx="7">
                  <c:v>7.838616038824259E-4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F8-2343-B49A-348CEF8989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80854400"/>
        <c:axId val="-1880852112"/>
      </c:lineChart>
      <c:catAx>
        <c:axId val="-188085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08521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08521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08544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7364169267573901"/>
          <c:y val="0.92500168728908905"/>
          <c:w val="0.52716266100540299"/>
          <c:h val="6.785714285714279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4921259845" footer="0.4921259845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Kennzahl d: Kapitaldienstanteil</a:t>
            </a:r>
          </a:p>
        </c:rich>
      </c:tx>
      <c:layout>
        <c:manualLayout>
          <c:xMode val="edge"/>
          <c:yMode val="edge"/>
          <c:x val="0.32121228028314602"/>
          <c:y val="3.2142857142857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989947813066095E-2"/>
          <c:y val="0.125000217983081"/>
          <c:w val="0.87878831221803599"/>
          <c:h val="0.721429977502812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Kennzahlen'!$D$42</c:f>
              <c:strCache>
                <c:ptCount val="1"/>
                <c:pt idx="0">
                  <c:v>Kapitaldienstanteil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%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Kennzahlen'!$H$42:$O$42</c:f>
              <c:numCache>
                <c:formatCode>0.0%</c:formatCode>
                <c:ptCount val="8"/>
                <c:pt idx="0">
                  <c:v>0.05</c:v>
                </c:pt>
                <c:pt idx="1">
                  <c:v>5.9250188394875662E-2</c:v>
                </c:pt>
                <c:pt idx="2">
                  <c:v>6.4798195959317045E-2</c:v>
                </c:pt>
                <c:pt idx="3">
                  <c:v>5.8084922808142099E-2</c:v>
                </c:pt>
                <c:pt idx="4">
                  <c:v>6.1803333888352775E-2</c:v>
                </c:pt>
                <c:pt idx="5">
                  <c:v>6.5061845344437708E-2</c:v>
                </c:pt>
                <c:pt idx="6">
                  <c:v>6.9070764582807753E-2</c:v>
                </c:pt>
                <c:pt idx="7">
                  <c:v>6.7982316325572584E-2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A-2F4A-9A8A-366FD8682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19395168"/>
        <c:axId val="-1319299072"/>
      </c:barChart>
      <c:lineChart>
        <c:grouping val="standard"/>
        <c:varyColors val="0"/>
        <c:ser>
          <c:idx val="1"/>
          <c:order val="1"/>
          <c:tx>
            <c:v> Obergrenze</c:v>
          </c:tx>
          <c:marker>
            <c:symbol val="none"/>
          </c:marker>
          <c:val>
            <c:numRef>
              <c:f>'F6 Kennzahlen'!$H$93:$O$93</c:f>
              <c:numCache>
                <c:formatCode>0%</c:formatCode>
                <c:ptCount val="8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DA-2F4A-9A8A-366FD86828F2}"/>
            </c:ext>
          </c:extLst>
        </c:ser>
        <c:ser>
          <c:idx val="2"/>
          <c:order val="2"/>
          <c:tx>
            <c:v> Ø Finanzplanperiode</c:v>
          </c:tx>
          <c:marker>
            <c:symbol val="none"/>
          </c:marker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Kennzahlen'!$H$105:$O$105</c:f>
              <c:numCache>
                <c:formatCode>0%</c:formatCode>
                <c:ptCount val="8"/>
                <c:pt idx="0">
                  <c:v>6.4501208739188964E-2</c:v>
                </c:pt>
                <c:pt idx="1">
                  <c:v>6.4501208739188964E-2</c:v>
                </c:pt>
                <c:pt idx="2">
                  <c:v>6.4501208739188964E-2</c:v>
                </c:pt>
                <c:pt idx="3">
                  <c:v>6.4501208739188964E-2</c:v>
                </c:pt>
                <c:pt idx="4">
                  <c:v>6.4501208739188964E-2</c:v>
                </c:pt>
                <c:pt idx="5">
                  <c:v>6.4501208739188964E-2</c:v>
                </c:pt>
                <c:pt idx="6">
                  <c:v>6.4501208739188964E-2</c:v>
                </c:pt>
                <c:pt idx="7">
                  <c:v>6.4501208739188964E-2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DA-2F4A-9A8A-366FD8682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19395168"/>
        <c:axId val="-1319299072"/>
      </c:lineChart>
      <c:catAx>
        <c:axId val="-131939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19299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3192990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193951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7878803785890399"/>
          <c:y val="0.92500168728908905"/>
          <c:w val="0.52929324743497996"/>
          <c:h val="6.785714285714279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Ertrag der Gemeindesteuern (Natürliche / Juristische</a:t>
            </a:r>
            <a:r>
              <a:rPr lang="en-US" baseline="0"/>
              <a:t> </a:t>
            </a:r>
            <a:r>
              <a:rPr lang="en-US"/>
              <a:t>Personen)</a:t>
            </a:r>
          </a:p>
        </c:rich>
      </c:tx>
      <c:layout>
        <c:manualLayout>
          <c:xMode val="edge"/>
          <c:yMode val="edge"/>
          <c:x val="0.18370967741935484"/>
          <c:y val="3.538961038961039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911304017397"/>
          <c:y val="0.117857348384048"/>
          <c:w val="0.83669437206083397"/>
          <c:h val="0.764287047096553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Kennzahlen'!$C$28</c:f>
              <c:strCache>
                <c:ptCount val="1"/>
                <c:pt idx="0">
                  <c:v>Ertrag der Gemeindesteuern (Nat/Jur Personen)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Kennzahlen'!$H$28:$O$28</c:f>
              <c:numCache>
                <c:formatCode>#,##0</c:formatCode>
                <c:ptCount val="8"/>
                <c:pt idx="0" formatCode="General">
                  <c:v>8853</c:v>
                </c:pt>
                <c:pt idx="1">
                  <c:v>6905</c:v>
                </c:pt>
                <c:pt idx="2">
                  <c:v>7345</c:v>
                </c:pt>
                <c:pt idx="3">
                  <c:v>7544.1949999999997</c:v>
                </c:pt>
                <c:pt idx="4">
                  <c:v>7695.7201994999996</c:v>
                </c:pt>
                <c:pt idx="5">
                  <c:v>7904.8237047249004</c:v>
                </c:pt>
                <c:pt idx="6">
                  <c:v>8063.5941249658699</c:v>
                </c:pt>
                <c:pt idx="7">
                  <c:v>8283.1035439468797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06-CC49-AB6E-22E027562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4712512"/>
        <c:axId val="-1884711152"/>
      </c:barChart>
      <c:catAx>
        <c:axId val="-188471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711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47111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2.6209677419354802E-2"/>
              <c:y val="0.39285770528683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712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4921259845" footer="0.492125984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Kennzahl g: Nettoschuld pro Einwohner (ohne Spezialfinanzierungen)</a:t>
            </a:r>
          </a:p>
        </c:rich>
      </c:tx>
      <c:layout>
        <c:manualLayout>
          <c:xMode val="edge"/>
          <c:yMode val="edge"/>
          <c:x val="0.13396977650521"/>
          <c:y val="2.8896103896103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7373805128337"/>
          <c:y val="0.14285739198066399"/>
          <c:w val="0.83838425188617205"/>
          <c:h val="0.725001264301869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Kennzahlen'!$D$45:$E$45</c:f>
              <c:strCache>
                <c:ptCount val="2"/>
                <c:pt idx="0">
                  <c:v>Nettoschuld ohne SF pro Einw.</c:v>
                </c:pt>
              </c:strCache>
            </c:strRef>
          </c:tx>
          <c:invertIfNegative val="0"/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Kennzahlen'!$H$45:$O$45</c:f>
              <c:numCache>
                <c:formatCode>#,##0</c:formatCode>
                <c:ptCount val="8"/>
                <c:pt idx="0">
                  <c:v>1746.4598786244098</c:v>
                </c:pt>
                <c:pt idx="1">
                  <c:v>1984.5376311063339</c:v>
                </c:pt>
                <c:pt idx="2">
                  <c:v>2448.7570566607815</c:v>
                </c:pt>
                <c:pt idx="3">
                  <c:v>3096.5417164230198</c:v>
                </c:pt>
                <c:pt idx="4">
                  <c:v>3678.0849460828881</c:v>
                </c:pt>
                <c:pt idx="5">
                  <c:v>3795.9072913625473</c:v>
                </c:pt>
                <c:pt idx="6">
                  <c:v>3577.0902406284035</c:v>
                </c:pt>
                <c:pt idx="7">
                  <c:v>3255.4249371435544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B4-0143-AC75-070D11B5C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0885424"/>
        <c:axId val="-1880883648"/>
      </c:barChart>
      <c:lineChart>
        <c:grouping val="standard"/>
        <c:varyColors val="0"/>
        <c:ser>
          <c:idx val="1"/>
          <c:order val="1"/>
          <c:tx>
            <c:v> Obergrenze</c:v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val>
            <c:numRef>
              <c:f>'F6 Kennzahlen'!$H$96:$O$96</c:f>
              <c:numCache>
                <c:formatCode>#,##0</c:formatCode>
                <c:ptCount val="8"/>
                <c:pt idx="0">
                  <c:v>2450</c:v>
                </c:pt>
                <c:pt idx="1">
                  <c:v>2450</c:v>
                </c:pt>
                <c:pt idx="2">
                  <c:v>2450</c:v>
                </c:pt>
                <c:pt idx="3">
                  <c:v>2450</c:v>
                </c:pt>
                <c:pt idx="4">
                  <c:v>2450</c:v>
                </c:pt>
                <c:pt idx="5">
                  <c:v>2450</c:v>
                </c:pt>
                <c:pt idx="6">
                  <c:v>2450</c:v>
                </c:pt>
                <c:pt idx="7">
                  <c:v>2450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B4-0143-AC75-070D11B5C6F8}"/>
            </c:ext>
          </c:extLst>
        </c:ser>
        <c:ser>
          <c:idx val="2"/>
          <c:order val="2"/>
          <c:tx>
            <c:v> Ø Finanzplanperiode</c:v>
          </c:tx>
          <c:spPr>
            <a:ln w="38100">
              <a:pattFill prst="pct50">
                <a:fgClr>
                  <a:srgbClr val="1FB714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Kennzahlen'!$H$108:$O$108</c:f>
              <c:numCache>
                <c:formatCode>#,##0</c:formatCode>
                <c:ptCount val="8"/>
                <c:pt idx="0">
                  <c:v>3313.2273405760816</c:v>
                </c:pt>
                <c:pt idx="1">
                  <c:v>3313.2273405760816</c:v>
                </c:pt>
                <c:pt idx="2">
                  <c:v>3313.2273405760816</c:v>
                </c:pt>
                <c:pt idx="3">
                  <c:v>3313.2273405760816</c:v>
                </c:pt>
                <c:pt idx="4">
                  <c:v>3313.2273405760816</c:v>
                </c:pt>
                <c:pt idx="5">
                  <c:v>3313.2273405760816</c:v>
                </c:pt>
                <c:pt idx="6">
                  <c:v>3313.2273405760816</c:v>
                </c:pt>
                <c:pt idx="7">
                  <c:v>3313.2273405760816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B4-0143-AC75-070D11B5C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80885424"/>
        <c:axId val="-1880883648"/>
      </c:lineChart>
      <c:catAx>
        <c:axId val="-188088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0883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08836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Franken </a:t>
                </a:r>
              </a:p>
            </c:rich>
          </c:tx>
          <c:layout>
            <c:manualLayout>
              <c:xMode val="edge"/>
              <c:yMode val="edge"/>
              <c:x val="2.62626262626263E-2"/>
              <c:y val="0.389286276715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08854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9696985604072201"/>
          <c:y val="0.92500168728908905"/>
          <c:w val="0.52929324743497996"/>
          <c:h val="6.785714285714279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4921259845" footer="0.492125984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Kennzahl a: Selbstfinanzierungsgrad</a:t>
            </a:r>
          </a:p>
        </c:rich>
      </c:tx>
      <c:layout>
        <c:manualLayout>
          <c:xMode val="edge"/>
          <c:yMode val="edge"/>
          <c:x val="0.28744939271255099"/>
          <c:y val="3.2142857142857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263157894737"/>
          <c:y val="0.12857165278259799"/>
          <c:w val="0.87246963562752999"/>
          <c:h val="0.725001406074241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Kennzahlen'!$D$39:$E$39</c:f>
              <c:strCache>
                <c:ptCount val="2"/>
                <c:pt idx="0">
                  <c:v>Selbstfinanzierungsgrad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Kennzahlen'!$H$39:$O$39</c:f>
              <c:numCache>
                <c:formatCode>0%</c:formatCode>
                <c:ptCount val="8"/>
                <c:pt idx="0">
                  <c:v>1.5861405197305101</c:v>
                </c:pt>
                <c:pt idx="1">
                  <c:v>0.39565217391304347</c:v>
                </c:pt>
                <c:pt idx="2">
                  <c:v>0.38010657193605685</c:v>
                </c:pt>
                <c:pt idx="3">
                  <c:v>0.34001814223512317</c:v>
                </c:pt>
                <c:pt idx="4">
                  <c:v>0.36099484927431114</c:v>
                </c:pt>
                <c:pt idx="5">
                  <c:v>0.46381885929952715</c:v>
                </c:pt>
                <c:pt idx="6">
                  <c:v>0.76286181015074384</c:v>
                </c:pt>
                <c:pt idx="7">
                  <c:v>1.3113260002717411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0-F942-8B83-8AF9621F9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19735840"/>
        <c:axId val="-1955452960"/>
      </c:barChart>
      <c:lineChart>
        <c:grouping val="standard"/>
        <c:varyColors val="0"/>
        <c:ser>
          <c:idx val="1"/>
          <c:order val="1"/>
          <c:tx>
            <c:v> Untergrenze</c:v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val>
            <c:numRef>
              <c:f>'F6 Kennzahlen'!$H$90:$O$90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90-F942-8B83-8AF9621F9EC7}"/>
            </c:ext>
          </c:extLst>
        </c:ser>
        <c:ser>
          <c:idx val="2"/>
          <c:order val="2"/>
          <c:tx>
            <c:v> Ø Finanzplanperiode</c:v>
          </c:tx>
          <c:spPr>
            <a:ln w="38100">
              <a:pattFill prst="pct50">
                <a:fgClr>
                  <a:srgbClr val="1FB714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Kennzahlen'!$H$102:$O$102</c:f>
              <c:numCache>
                <c:formatCode>0%</c:formatCode>
                <c:ptCount val="8"/>
                <c:pt idx="0">
                  <c:v>0.50291968577122947</c:v>
                </c:pt>
                <c:pt idx="1">
                  <c:v>0.50291968577122947</c:v>
                </c:pt>
                <c:pt idx="2">
                  <c:v>0.50291968577122947</c:v>
                </c:pt>
                <c:pt idx="3">
                  <c:v>0.50291968577122947</c:v>
                </c:pt>
                <c:pt idx="4">
                  <c:v>0.50291968577122947</c:v>
                </c:pt>
                <c:pt idx="5">
                  <c:v>0.50291968577122947</c:v>
                </c:pt>
                <c:pt idx="6">
                  <c:v>0.50291968577122947</c:v>
                </c:pt>
                <c:pt idx="7">
                  <c:v>0.50291968577122947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90-F942-8B83-8AF9621F9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19735840"/>
        <c:axId val="-1955452960"/>
      </c:lineChart>
      <c:catAx>
        <c:axId val="-131973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955452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9554529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197358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7327935222672101"/>
          <c:y val="0.92500168728908905"/>
          <c:w val="0.53441295546558698"/>
          <c:h val="6.785714285714279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4921259845" footer="0.4921259845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Kennzahl h: Bruttoverschuldungsanteil</a:t>
            </a:r>
          </a:p>
        </c:rich>
      </c:tx>
      <c:layout>
        <c:manualLayout>
          <c:xMode val="edge"/>
          <c:yMode val="edge"/>
          <c:x val="0.272727431798298"/>
          <c:y val="3.53896103896104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030353846252"/>
          <c:y val="0.139285957181147"/>
          <c:w val="0.87474790618484899"/>
          <c:h val="0.735715568700419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Kennzahlen'!$D$46:$E$46</c:f>
              <c:strCache>
                <c:ptCount val="2"/>
                <c:pt idx="0">
                  <c:v>Bruttoverschuldungsanteil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9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Kennzahlen'!$H$46:$O$46</c:f>
              <c:numCache>
                <c:formatCode>0.0%</c:formatCode>
                <c:ptCount val="8"/>
                <c:pt idx="0">
                  <c:v>0.45200000000000001</c:v>
                </c:pt>
                <c:pt idx="1">
                  <c:v>0.5651846269781462</c:v>
                </c:pt>
                <c:pt idx="2">
                  <c:v>0.63233466795526716</c:v>
                </c:pt>
                <c:pt idx="3">
                  <c:v>0.73161737747107514</c:v>
                </c:pt>
                <c:pt idx="4">
                  <c:v>0.82780064323340918</c:v>
                </c:pt>
                <c:pt idx="5">
                  <c:v>0.89018901260302807</c:v>
                </c:pt>
                <c:pt idx="6">
                  <c:v>0.90276256020901346</c:v>
                </c:pt>
                <c:pt idx="7">
                  <c:v>0.87537807767332809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02-774C-9667-5EE41DFEC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19782464"/>
        <c:axId val="-1188082560"/>
      </c:barChart>
      <c:lineChart>
        <c:grouping val="standard"/>
        <c:varyColors val="0"/>
        <c:ser>
          <c:idx val="1"/>
          <c:order val="1"/>
          <c:tx>
            <c:v> Obergrenze</c:v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val>
            <c:numRef>
              <c:f>'F6 Kennzahlen'!$H$97:$O$97</c:f>
              <c:numCache>
                <c:formatCode>0%</c:formatCode>
                <c:ptCount val="8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02-774C-9667-5EE41DFEC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19782464"/>
        <c:axId val="-1188082560"/>
      </c:lineChart>
      <c:catAx>
        <c:axId val="-131978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188082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1880825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19782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45454561361647999"/>
          <c:y val="0.94285883014623195"/>
          <c:w val="0.17171733078819701"/>
          <c:h val="0.0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Kennzahl e: Nettoverschuldungsquotient</a:t>
            </a:r>
          </a:p>
        </c:rich>
      </c:tx>
      <c:layout>
        <c:manualLayout>
          <c:xMode val="edge"/>
          <c:yMode val="edge"/>
          <c:x val="0.27070722977809603"/>
          <c:y val="4.18831168831168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05055686284601"/>
          <c:y val="0.14642882678018099"/>
          <c:w val="0.87272770316825599"/>
          <c:h val="0.685715410573678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Kennzahlen'!$D$43:$E$43</c:f>
              <c:strCache>
                <c:ptCount val="2"/>
                <c:pt idx="0">
                  <c:v>Nettoverschuildungsquotient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Kennzahlen'!$H$43:$O$43</c:f>
              <c:numCache>
                <c:formatCode>0%</c:formatCode>
                <c:ptCount val="8"/>
                <c:pt idx="0">
                  <c:v>-4.8000000000000001E-2</c:v>
                </c:pt>
                <c:pt idx="1">
                  <c:v>7.5904392764857886E-2</c:v>
                </c:pt>
                <c:pt idx="2">
                  <c:v>0.25889453621346886</c:v>
                </c:pt>
                <c:pt idx="3">
                  <c:v>0.49444065182322638</c:v>
                </c:pt>
                <c:pt idx="4">
                  <c:v>0.72233157563228534</c:v>
                </c:pt>
                <c:pt idx="5">
                  <c:v>0.87234387240886346</c:v>
                </c:pt>
                <c:pt idx="6">
                  <c:v>0.90955346270869863</c:v>
                </c:pt>
                <c:pt idx="7">
                  <c:v>0.85374708120235177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A6-BA44-A3B4-E954C71AA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0271024"/>
        <c:axId val="-1880268192"/>
      </c:barChart>
      <c:lineChart>
        <c:grouping val="standard"/>
        <c:varyColors val="0"/>
        <c:ser>
          <c:idx val="1"/>
          <c:order val="1"/>
          <c:tx>
            <c:v> Obergrenze</c:v>
          </c:tx>
          <c:marker>
            <c:symbol val="none"/>
          </c:marker>
          <c:val>
            <c:numRef>
              <c:f>'F6 Kennzahlen'!$H$94:$O$94</c:f>
              <c:numCache>
                <c:formatCode>0%</c:formatCode>
                <c:ptCount val="8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A6-BA44-A3B4-E954C71AA7FA}"/>
            </c:ext>
          </c:extLst>
        </c:ser>
        <c:ser>
          <c:idx val="2"/>
          <c:order val="2"/>
          <c:tx>
            <c:v> Ø Finanzplanperiode</c:v>
          </c:tx>
          <c:marker>
            <c:symbol val="none"/>
          </c:marker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Kennzahlen'!$H$106:$O$106</c:f>
              <c:numCache>
                <c:formatCode>0%</c:formatCode>
                <c:ptCount val="8"/>
                <c:pt idx="0">
                  <c:v>0.6885419808275508</c:v>
                </c:pt>
                <c:pt idx="1">
                  <c:v>0.6885419808275508</c:v>
                </c:pt>
                <c:pt idx="2">
                  <c:v>0.6885419808275508</c:v>
                </c:pt>
                <c:pt idx="3">
                  <c:v>0.6885419808275508</c:v>
                </c:pt>
                <c:pt idx="4">
                  <c:v>0.6885419808275508</c:v>
                </c:pt>
                <c:pt idx="5">
                  <c:v>0.6885419808275508</c:v>
                </c:pt>
                <c:pt idx="6">
                  <c:v>0.6885419808275508</c:v>
                </c:pt>
                <c:pt idx="7">
                  <c:v>0.6885419808275508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A6-BA44-A3B4-E954C71AA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80271024"/>
        <c:axId val="-1880268192"/>
      </c:lineChart>
      <c:catAx>
        <c:axId val="-188027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0268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02681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02710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7474763381849998"/>
          <c:y val="0.92500168728908905"/>
          <c:w val="0.52929324743497996"/>
          <c:h val="6.785714285714279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4921259845" footer="0.4921259845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Kennzahl f: Nettoschuld pro Einwohner</a:t>
            </a:r>
          </a:p>
        </c:rich>
      </c:tx>
      <c:layout>
        <c:manualLayout>
          <c:xMode val="edge"/>
          <c:yMode val="edge"/>
          <c:x val="0.27070722977809603"/>
          <c:y val="3.2142857142857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7373805128337"/>
          <c:y val="0.14285739198066399"/>
          <c:w val="0.83838425188617205"/>
          <c:h val="0.725001264301869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Kennzahlen'!$D$44:$E$44</c:f>
              <c:strCache>
                <c:ptCount val="2"/>
                <c:pt idx="0">
                  <c:v>Nettoschuld pro Einwohnwer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layout>
                <c:manualLayout>
                  <c:x val="-6.6927187980847503E-4"/>
                  <c:y val="-2.48779244681258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609-8C4A-A718-FB25A78CC2A6}"/>
                </c:ext>
              </c:extLst>
            </c:dLbl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Kennzahlen'!$H$44:$O$44</c:f>
              <c:numCache>
                <c:formatCode>#,##0</c:formatCode>
                <c:ptCount val="8"/>
                <c:pt idx="0">
                  <c:v>-184.08631153068106</c:v>
                </c:pt>
                <c:pt idx="1">
                  <c:v>235.34045919763926</c:v>
                </c:pt>
                <c:pt idx="2">
                  <c:v>808.09974403234048</c:v>
                </c:pt>
                <c:pt idx="3">
                  <c:v>1544.1210617471111</c:v>
                </c:pt>
                <c:pt idx="4">
                  <c:v>2242.0747904059281</c:v>
                </c:pt>
                <c:pt idx="5">
                  <c:v>2710.0817548173832</c:v>
                </c:pt>
                <c:pt idx="6">
                  <c:v>2824.8481885161577</c:v>
                </c:pt>
                <c:pt idx="7">
                  <c:v>2673.5220039753603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09-8C4A-A718-FB25A78CC2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20103728"/>
        <c:axId val="-1221419104"/>
      </c:barChart>
      <c:lineChart>
        <c:grouping val="standard"/>
        <c:varyColors val="0"/>
        <c:ser>
          <c:idx val="1"/>
          <c:order val="1"/>
          <c:tx>
            <c:v> Obergrenze</c:v>
          </c:tx>
          <c:marker>
            <c:symbol val="none"/>
          </c:marker>
          <c:val>
            <c:numRef>
              <c:f>'F6 Kennzahlen'!$H$95:$O$95</c:f>
              <c:numCache>
                <c:formatCode>#,##0</c:formatCode>
                <c:ptCount val="8"/>
                <c:pt idx="0">
                  <c:v>870</c:v>
                </c:pt>
                <c:pt idx="1">
                  <c:v>870</c:v>
                </c:pt>
                <c:pt idx="2">
                  <c:v>870</c:v>
                </c:pt>
                <c:pt idx="3">
                  <c:v>870</c:v>
                </c:pt>
                <c:pt idx="4">
                  <c:v>870</c:v>
                </c:pt>
                <c:pt idx="5">
                  <c:v>870</c:v>
                </c:pt>
                <c:pt idx="6">
                  <c:v>870</c:v>
                </c:pt>
                <c:pt idx="7">
                  <c:v>870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09-8C4A-A718-FB25A78CC2A6}"/>
            </c:ext>
          </c:extLst>
        </c:ser>
        <c:ser>
          <c:idx val="2"/>
          <c:order val="2"/>
          <c:tx>
            <c:v> Ø Finanzplanperiode</c:v>
          </c:tx>
          <c:marker>
            <c:symbol val="none"/>
          </c:marker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Kennzahlen'!$H$107:$O$107</c:f>
              <c:numCache>
                <c:formatCode>#,##0</c:formatCode>
                <c:ptCount val="8"/>
                <c:pt idx="0">
                  <c:v>2145.0612801162997</c:v>
                </c:pt>
                <c:pt idx="1">
                  <c:v>2145.0612801162997</c:v>
                </c:pt>
                <c:pt idx="2">
                  <c:v>2145.0612801162997</c:v>
                </c:pt>
                <c:pt idx="3">
                  <c:v>2145.0612801162997</c:v>
                </c:pt>
                <c:pt idx="4">
                  <c:v>2145.0612801162997</c:v>
                </c:pt>
                <c:pt idx="5">
                  <c:v>2145.0612801162997</c:v>
                </c:pt>
                <c:pt idx="6">
                  <c:v>2145.0612801162997</c:v>
                </c:pt>
                <c:pt idx="7">
                  <c:v>2145.0612801162997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609-8C4A-A718-FB25A78CC2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20103728"/>
        <c:axId val="-1221419104"/>
      </c:lineChart>
      <c:catAx>
        <c:axId val="-132010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221419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2214191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Franken </a:t>
                </a:r>
              </a:p>
            </c:rich>
          </c:tx>
          <c:layout>
            <c:manualLayout>
              <c:xMode val="edge"/>
              <c:yMode val="edge"/>
              <c:x val="2.62626262626263E-2"/>
              <c:y val="0.389286276715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3201037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9696985604072201"/>
          <c:y val="0.92500168728908905"/>
          <c:w val="0.52929324743497996"/>
          <c:h val="6.785714285714279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>
      <c:oddFooter>&amp;L&amp;8&amp;K000000Version 7&amp;C&amp;8&amp;K000000Seite  &amp;P&amp;R&amp;8&amp;K000000&amp;D / &amp;F / &amp;T</c:oddFooter>
    </c:headerFooter>
    <c:pageMargins b="1" l="0.75" r="0.75" t="1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Ergebnis Erfolgsrechnung in Steuereinheiten</a:t>
            </a:r>
          </a:p>
        </c:rich>
      </c:tx>
      <c:layout>
        <c:manualLayout>
          <c:xMode val="edge"/>
          <c:yMode val="edge"/>
          <c:x val="0.22177435229870501"/>
          <c:y val="3.2142857142857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00012305487199"/>
          <c:y val="0.139285957181147"/>
          <c:w val="0.85080728917993298"/>
          <c:h val="0.742858438299452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Kennzahlen'!$C$30</c:f>
              <c:strCache>
                <c:ptCount val="1"/>
                <c:pt idx="0">
                  <c:v>Ergebnis Laufende Rechnung in Steuereinheiten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.0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Kennzahlen'!$H$30:$O$30</c:f>
              <c:numCache>
                <c:formatCode>#,##0.00</c:formatCode>
                <c:ptCount val="8"/>
                <c:pt idx="0" formatCode="General">
                  <c:v>0.66418163334462899</c:v>
                </c:pt>
                <c:pt idx="1">
                  <c:v>9.4279507603186093E-3</c:v>
                </c:pt>
                <c:pt idx="2">
                  <c:v>3.4513274336283187E-3</c:v>
                </c:pt>
                <c:pt idx="3">
                  <c:v>5.8250996295827272E-2</c:v>
                </c:pt>
                <c:pt idx="4">
                  <c:v>4.9346461144479548E-2</c:v>
                </c:pt>
                <c:pt idx="5">
                  <c:v>4.463958925149427E-2</c:v>
                </c:pt>
                <c:pt idx="6">
                  <c:v>4.3337688747788074E-2</c:v>
                </c:pt>
                <c:pt idx="7">
                  <c:v>9.1053901204668275E-2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F0-9240-B387-6E0A1BA12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4689760"/>
        <c:axId val="-1884687712"/>
      </c:barChart>
      <c:catAx>
        <c:axId val="-188468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687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46877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Steuereinheiten</a:t>
                </a:r>
              </a:p>
            </c:rich>
          </c:tx>
          <c:layout>
            <c:manualLayout>
              <c:xMode val="edge"/>
              <c:yMode val="edge"/>
              <c:x val="2.6209677419354802E-2"/>
              <c:y val="0.3785719910011249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689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4921259845" footer="0.492125984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6612934975869901"/>
          <c:y val="3.214285714285709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508077813994199"/>
          <c:y val="0.14285739198066399"/>
          <c:w val="0.84072663409486204"/>
          <c:h val="0.739287003499936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Kennzahlen'!$C$35</c:f>
              <c:strCache>
                <c:ptCount val="1"/>
                <c:pt idx="0">
                  <c:v>Finanzausgleichszahlungen Total (Netto)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Kennzahlen'!$H$35:$O$35</c:f>
              <c:numCache>
                <c:formatCode>#,##0</c:formatCode>
                <c:ptCount val="8"/>
                <c:pt idx="0" formatCode="General">
                  <c:v>3171</c:v>
                </c:pt>
                <c:pt idx="1">
                  <c:v>2829</c:v>
                </c:pt>
                <c:pt idx="2">
                  <c:v>2556</c:v>
                </c:pt>
                <c:pt idx="3">
                  <c:v>2445</c:v>
                </c:pt>
                <c:pt idx="4">
                  <c:v>2325</c:v>
                </c:pt>
                <c:pt idx="5">
                  <c:v>2245</c:v>
                </c:pt>
                <c:pt idx="6">
                  <c:v>2225</c:v>
                </c:pt>
                <c:pt idx="7">
                  <c:v>2240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21-2242-AABF-4AF97A1BB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4668256"/>
        <c:axId val="-1884666208"/>
      </c:barChart>
      <c:catAx>
        <c:axId val="-188466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666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46662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2.6209677419354802E-2"/>
              <c:y val="0.39285770528683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668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4921259845" footer="0.492125984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306483362966726"/>
          <c:y val="3.538961038961039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911304017397"/>
          <c:y val="0.13214308758211399"/>
          <c:w val="0.83669437206083397"/>
          <c:h val="0.750001307898485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Kennzahlen'!$C$26:$G$26</c:f>
              <c:strCache>
                <c:ptCount val="5"/>
                <c:pt idx="0">
                  <c:v>Laufender Ertrag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Kennzahlen'!$H$26:$O$26</c:f>
              <c:numCache>
                <c:formatCode>#,##0</c:formatCode>
                <c:ptCount val="8"/>
                <c:pt idx="0" formatCode="General">
                  <c:v>23896</c:v>
                </c:pt>
                <c:pt idx="1">
                  <c:v>21232</c:v>
                </c:pt>
                <c:pt idx="2">
                  <c:v>21729</c:v>
                </c:pt>
                <c:pt idx="3">
                  <c:v>21887.994999999995</c:v>
                </c:pt>
                <c:pt idx="4">
                  <c:v>22004.102549499999</c:v>
                </c:pt>
                <c:pt idx="5">
                  <c:v>22178.578049974898</c:v>
                </c:pt>
                <c:pt idx="6">
                  <c:v>22363.51747627712</c:v>
                </c:pt>
                <c:pt idx="7">
                  <c:v>22615.000348693036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4B-394A-8857-90D564E2F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4643824"/>
        <c:axId val="-1884641776"/>
      </c:barChart>
      <c:catAx>
        <c:axId val="-188464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641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46417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9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2.6209677419354802E-2"/>
              <c:y val="0.3964291338582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643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Kapitaldienst (Nettozinsaufwand + ordentliche</a:t>
            </a:r>
            <a:r>
              <a:rPr lang="de-DE" baseline="0"/>
              <a:t> </a:t>
            </a:r>
            <a:r>
              <a:rPr lang="de-DE"/>
              <a:t>Abschreibungen)</a:t>
            </a:r>
          </a:p>
        </c:rich>
      </c:tx>
      <c:layout>
        <c:manualLayout>
          <c:xMode val="edge"/>
          <c:yMode val="edge"/>
          <c:x val="0.23138864684168001"/>
          <c:y val="3.2142857142857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77254092975299"/>
          <c:y val="0.13214308758211399"/>
          <c:w val="0.85110601270758401"/>
          <c:h val="0.750001307898485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Kennzahlen'!$C$25</c:f>
              <c:strCache>
                <c:ptCount val="1"/>
                <c:pt idx="0">
                  <c:v>Kapitaldienst (Nettozinsaufwand + ord. Abschr)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Kennzahlen'!$H$25:$O$25</c:f>
              <c:numCache>
                <c:formatCode>#,##0</c:formatCode>
                <c:ptCount val="8"/>
                <c:pt idx="0">
                  <c:v>1143</c:v>
                </c:pt>
                <c:pt idx="1">
                  <c:v>1258</c:v>
                </c:pt>
                <c:pt idx="2">
                  <c:v>1408</c:v>
                </c:pt>
                <c:pt idx="3">
                  <c:v>1271.3625</c:v>
                </c:pt>
                <c:pt idx="4">
                  <c:v>1359.926896780303</c:v>
                </c:pt>
                <c:pt idx="5">
                  <c:v>1442.9792150470075</c:v>
                </c:pt>
                <c:pt idx="6">
                  <c:v>1544.665250847444</c:v>
                </c:pt>
                <c:pt idx="7">
                  <c:v>1537.4201074077844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5F-A840-9158-0B1C10AB2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4620160"/>
        <c:axId val="-1884618112"/>
      </c:barChart>
      <c:catAx>
        <c:axId val="-188462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6181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46181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2.6156941649899401E-2"/>
              <c:y val="0.39285770528683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620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1526183474053698"/>
          <c:y val="3.538961038961039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2449771632974"/>
          <c:y val="0.139285957181147"/>
          <c:w val="0.86546163524664199"/>
          <c:h val="0.742858438299452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Kennzahlen'!$C$23</c:f>
              <c:strCache>
                <c:ptCount val="1"/>
                <c:pt idx="0">
                  <c:v>Nettozinsaufwand (340 abzüglich 440)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Kennzahlen'!$H$23:$O$23</c:f>
              <c:numCache>
                <c:formatCode>#,##0</c:formatCode>
                <c:ptCount val="8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5.3625000000000007</c:v>
                </c:pt>
                <c:pt idx="4">
                  <c:v>11.04659375</c:v>
                </c:pt>
                <c:pt idx="5">
                  <c:v>22.053457471249992</c:v>
                </c:pt>
                <c:pt idx="6">
                  <c:v>29.694038726231732</c:v>
                </c:pt>
                <c:pt idx="7">
                  <c:v>31.923137710814743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C-A242-AED1-06EBA16BB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4532480"/>
        <c:axId val="-1884530848"/>
      </c:barChart>
      <c:catAx>
        <c:axId val="-188453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5308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45308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2.6104417670682702E-2"/>
              <c:y val="0.39285770528683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532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7054108216432898"/>
          <c:y val="3.214285714285709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28256544401436"/>
          <c:y val="0.13214308758211399"/>
          <c:w val="0.84969960665951205"/>
          <c:h val="0.750001307898485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Kennzahlen'!$C$24</c:f>
              <c:strCache>
                <c:ptCount val="1"/>
                <c:pt idx="0">
                  <c:v>Abschreibungen (330, 332 + 366)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Kennzahlen'!$H$24:$O$24</c:f>
              <c:numCache>
                <c:formatCode>#,##0</c:formatCode>
                <c:ptCount val="8"/>
                <c:pt idx="0" formatCode="General">
                  <c:v>1137</c:v>
                </c:pt>
                <c:pt idx="1">
                  <c:v>1255</c:v>
                </c:pt>
                <c:pt idx="2">
                  <c:v>1404</c:v>
                </c:pt>
                <c:pt idx="3">
                  <c:v>1266</c:v>
                </c:pt>
                <c:pt idx="4">
                  <c:v>1348.8803030303029</c:v>
                </c:pt>
                <c:pt idx="5">
                  <c:v>1420.9257575757576</c:v>
                </c:pt>
                <c:pt idx="6">
                  <c:v>1514.9712121212121</c:v>
                </c:pt>
                <c:pt idx="7">
                  <c:v>1505.4969696969697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B8-A344-9CE0-F794F8B3A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5041248"/>
        <c:axId val="-1884354208"/>
      </c:barChart>
      <c:catAx>
        <c:axId val="-18850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35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43542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2.6052104208416801E-2"/>
              <c:y val="0.39285770528683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5041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4400015748031501"/>
          <c:y val="3.214285714285709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2800009375006899"/>
          <c:y val="0.13571452238163101"/>
          <c:w val="0.84800062109420504"/>
          <c:h val="0.746429873098969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'F6 Kennzahlen'!$C$8</c:f>
              <c:strCache>
                <c:ptCount val="1"/>
                <c:pt idx="0">
                  <c:v>Nettoinvestitionen ins Verwaltungsvermögen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'F6 Kennzahlen'!$H$6:$O$6</c:f>
              <c:numCache>
                <c:formatCode>General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</c:numCache>
            </c:numRef>
          </c:cat>
          <c:val>
            <c:numRef>
              <c:f>'F6 Kennzahlen'!$H$8:$O$8</c:f>
              <c:numCache>
                <c:formatCode>#,##0</c:formatCode>
                <c:ptCount val="8"/>
                <c:pt idx="0" formatCode="General">
                  <c:v>2078</c:v>
                </c:pt>
                <c:pt idx="1">
                  <c:v>2070</c:v>
                </c:pt>
                <c:pt idx="2">
                  <c:v>2815</c:v>
                </c:pt>
                <c:pt idx="3">
                  <c:v>3445</c:v>
                </c:pt>
                <c:pt idx="4">
                  <c:v>3445</c:v>
                </c:pt>
                <c:pt idx="5">
                  <c:v>2850</c:v>
                </c:pt>
                <c:pt idx="6">
                  <c:v>1880</c:v>
                </c:pt>
                <c:pt idx="7">
                  <c:v>1260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48-7149-B09C-ABBDD27AE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85012048"/>
        <c:axId val="-1884377808"/>
      </c:barChart>
      <c:catAx>
        <c:axId val="-188501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43778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8843778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1'000 Franken</a:t>
                </a:r>
              </a:p>
            </c:rich>
          </c:tx>
          <c:layout>
            <c:manualLayout>
              <c:xMode val="edge"/>
              <c:yMode val="edge"/>
              <c:x val="2.5999999999999999E-2"/>
              <c:y val="0.39285770528683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-1885012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4.xml"/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130</xdr:row>
      <xdr:rowOff>0</xdr:rowOff>
    </xdr:from>
    <xdr:to>
      <xdr:col>9</xdr:col>
      <xdr:colOff>0</xdr:colOff>
      <xdr:row>158</xdr:row>
      <xdr:rowOff>0</xdr:rowOff>
    </xdr:to>
    <xdr:graphicFrame macro="">
      <xdr:nvGraphicFramePr>
        <xdr:cNvPr id="3541920" name="Chart 4">
          <a:extLst>
            <a:ext uri="{FF2B5EF4-FFF2-40B4-BE49-F238E27FC236}">
              <a16:creationId xmlns:a16="http://schemas.microsoft.com/office/drawing/2014/main" id="{00000000-0008-0000-0F00-0000A0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450</xdr:row>
      <xdr:rowOff>0</xdr:rowOff>
    </xdr:from>
    <xdr:to>
      <xdr:col>9</xdr:col>
      <xdr:colOff>0</xdr:colOff>
      <xdr:row>478</xdr:row>
      <xdr:rowOff>0</xdr:rowOff>
    </xdr:to>
    <xdr:graphicFrame macro="">
      <xdr:nvGraphicFramePr>
        <xdr:cNvPr id="3541921" name="Chart 13">
          <a:extLst>
            <a:ext uri="{FF2B5EF4-FFF2-40B4-BE49-F238E27FC236}">
              <a16:creationId xmlns:a16="http://schemas.microsoft.com/office/drawing/2014/main" id="{00000000-0008-0000-0F00-0000A1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190500</xdr:colOff>
      <xdr:row>386</xdr:row>
      <xdr:rowOff>0</xdr:rowOff>
    </xdr:from>
    <xdr:to>
      <xdr:col>9</xdr:col>
      <xdr:colOff>0</xdr:colOff>
      <xdr:row>414</xdr:row>
      <xdr:rowOff>0</xdr:rowOff>
    </xdr:to>
    <xdr:graphicFrame macro="">
      <xdr:nvGraphicFramePr>
        <xdr:cNvPr id="3541922" name="Chart 14">
          <a:extLst>
            <a:ext uri="{FF2B5EF4-FFF2-40B4-BE49-F238E27FC236}">
              <a16:creationId xmlns:a16="http://schemas.microsoft.com/office/drawing/2014/main" id="{00000000-0008-0000-0F00-0000A2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190500</xdr:colOff>
      <xdr:row>418</xdr:row>
      <xdr:rowOff>0</xdr:rowOff>
    </xdr:from>
    <xdr:to>
      <xdr:col>9</xdr:col>
      <xdr:colOff>0</xdr:colOff>
      <xdr:row>446</xdr:row>
      <xdr:rowOff>0</xdr:rowOff>
    </xdr:to>
    <xdr:graphicFrame macro="">
      <xdr:nvGraphicFramePr>
        <xdr:cNvPr id="3541923" name="Chart 15">
          <a:extLst>
            <a:ext uri="{FF2B5EF4-FFF2-40B4-BE49-F238E27FC236}">
              <a16:creationId xmlns:a16="http://schemas.microsoft.com/office/drawing/2014/main" id="{00000000-0008-0000-0F00-0000A3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190500</xdr:colOff>
      <xdr:row>483</xdr:row>
      <xdr:rowOff>0</xdr:rowOff>
    </xdr:from>
    <xdr:to>
      <xdr:col>9</xdr:col>
      <xdr:colOff>0</xdr:colOff>
      <xdr:row>511</xdr:row>
      <xdr:rowOff>0</xdr:rowOff>
    </xdr:to>
    <xdr:graphicFrame macro="">
      <xdr:nvGraphicFramePr>
        <xdr:cNvPr id="3541924" name="Chart 18">
          <a:extLst>
            <a:ext uri="{FF2B5EF4-FFF2-40B4-BE49-F238E27FC236}">
              <a16:creationId xmlns:a16="http://schemas.microsoft.com/office/drawing/2014/main" id="{00000000-0008-0000-0F00-0000A4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354</xdr:row>
      <xdr:rowOff>0</xdr:rowOff>
    </xdr:from>
    <xdr:to>
      <xdr:col>9</xdr:col>
      <xdr:colOff>25400</xdr:colOff>
      <xdr:row>382</xdr:row>
      <xdr:rowOff>0</xdr:rowOff>
    </xdr:to>
    <xdr:graphicFrame macro="">
      <xdr:nvGraphicFramePr>
        <xdr:cNvPr id="3541925" name="Chart 20">
          <a:extLst>
            <a:ext uri="{FF2B5EF4-FFF2-40B4-BE49-F238E27FC236}">
              <a16:creationId xmlns:a16="http://schemas.microsoft.com/office/drawing/2014/main" id="{00000000-0008-0000-0F00-0000A5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322</xdr:row>
      <xdr:rowOff>0</xdr:rowOff>
    </xdr:from>
    <xdr:to>
      <xdr:col>9</xdr:col>
      <xdr:colOff>38100</xdr:colOff>
      <xdr:row>350</xdr:row>
      <xdr:rowOff>0</xdr:rowOff>
    </xdr:to>
    <xdr:graphicFrame macro="">
      <xdr:nvGraphicFramePr>
        <xdr:cNvPr id="3541926" name="Chart 21">
          <a:extLst>
            <a:ext uri="{FF2B5EF4-FFF2-40B4-BE49-F238E27FC236}">
              <a16:creationId xmlns:a16="http://schemas.microsoft.com/office/drawing/2014/main" id="{00000000-0008-0000-0F00-0000A6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0</xdr:colOff>
      <xdr:row>290</xdr:row>
      <xdr:rowOff>0</xdr:rowOff>
    </xdr:from>
    <xdr:to>
      <xdr:col>9</xdr:col>
      <xdr:colOff>50800</xdr:colOff>
      <xdr:row>318</xdr:row>
      <xdr:rowOff>0</xdr:rowOff>
    </xdr:to>
    <xdr:graphicFrame macro="">
      <xdr:nvGraphicFramePr>
        <xdr:cNvPr id="3541927" name="Chart 22">
          <a:extLst>
            <a:ext uri="{FF2B5EF4-FFF2-40B4-BE49-F238E27FC236}">
              <a16:creationId xmlns:a16="http://schemas.microsoft.com/office/drawing/2014/main" id="{00000000-0008-0000-0F00-0000A7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258</xdr:row>
      <xdr:rowOff>0</xdr:rowOff>
    </xdr:from>
    <xdr:to>
      <xdr:col>9</xdr:col>
      <xdr:colOff>63500</xdr:colOff>
      <xdr:row>286</xdr:row>
      <xdr:rowOff>0</xdr:rowOff>
    </xdr:to>
    <xdr:graphicFrame macro="">
      <xdr:nvGraphicFramePr>
        <xdr:cNvPr id="3541928" name="Chart 23">
          <a:extLst>
            <a:ext uri="{FF2B5EF4-FFF2-40B4-BE49-F238E27FC236}">
              <a16:creationId xmlns:a16="http://schemas.microsoft.com/office/drawing/2014/main" id="{00000000-0008-0000-0F00-0000A8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226</xdr:row>
      <xdr:rowOff>0</xdr:rowOff>
    </xdr:from>
    <xdr:to>
      <xdr:col>9</xdr:col>
      <xdr:colOff>76200</xdr:colOff>
      <xdr:row>254</xdr:row>
      <xdr:rowOff>0</xdr:rowOff>
    </xdr:to>
    <xdr:graphicFrame macro="">
      <xdr:nvGraphicFramePr>
        <xdr:cNvPr id="3541929" name="Chart 25">
          <a:extLst>
            <a:ext uri="{FF2B5EF4-FFF2-40B4-BE49-F238E27FC236}">
              <a16:creationId xmlns:a16="http://schemas.microsoft.com/office/drawing/2014/main" id="{00000000-0008-0000-0F00-0000A9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0</xdr:colOff>
      <xdr:row>162</xdr:row>
      <xdr:rowOff>0</xdr:rowOff>
    </xdr:from>
    <xdr:to>
      <xdr:col>8</xdr:col>
      <xdr:colOff>139700</xdr:colOff>
      <xdr:row>190</xdr:row>
      <xdr:rowOff>0</xdr:rowOff>
    </xdr:to>
    <xdr:graphicFrame macro="">
      <xdr:nvGraphicFramePr>
        <xdr:cNvPr id="3541930" name="Chart 26">
          <a:extLst>
            <a:ext uri="{FF2B5EF4-FFF2-40B4-BE49-F238E27FC236}">
              <a16:creationId xmlns:a16="http://schemas.microsoft.com/office/drawing/2014/main" id="{00000000-0008-0000-0F00-0000AA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194</xdr:row>
      <xdr:rowOff>0</xdr:rowOff>
    </xdr:from>
    <xdr:to>
      <xdr:col>9</xdr:col>
      <xdr:colOff>0</xdr:colOff>
      <xdr:row>222</xdr:row>
      <xdr:rowOff>0</xdr:rowOff>
    </xdr:to>
    <xdr:graphicFrame macro="">
      <xdr:nvGraphicFramePr>
        <xdr:cNvPr id="3541931" name="Chart 27">
          <a:extLst>
            <a:ext uri="{FF2B5EF4-FFF2-40B4-BE49-F238E27FC236}">
              <a16:creationId xmlns:a16="http://schemas.microsoft.com/office/drawing/2014/main" id="{00000000-0008-0000-0F00-0000AB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0</xdr:colOff>
      <xdr:row>98</xdr:row>
      <xdr:rowOff>0</xdr:rowOff>
    </xdr:from>
    <xdr:to>
      <xdr:col>9</xdr:col>
      <xdr:colOff>12700</xdr:colOff>
      <xdr:row>126</xdr:row>
      <xdr:rowOff>0</xdr:rowOff>
    </xdr:to>
    <xdr:graphicFrame macro="">
      <xdr:nvGraphicFramePr>
        <xdr:cNvPr id="3541932" name="Chart 28">
          <a:extLst>
            <a:ext uri="{FF2B5EF4-FFF2-40B4-BE49-F238E27FC236}">
              <a16:creationId xmlns:a16="http://schemas.microsoft.com/office/drawing/2014/main" id="{00000000-0008-0000-0F00-0000AC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66</xdr:row>
      <xdr:rowOff>0</xdr:rowOff>
    </xdr:from>
    <xdr:to>
      <xdr:col>9</xdr:col>
      <xdr:colOff>25400</xdr:colOff>
      <xdr:row>94</xdr:row>
      <xdr:rowOff>0</xdr:rowOff>
    </xdr:to>
    <xdr:graphicFrame macro="">
      <xdr:nvGraphicFramePr>
        <xdr:cNvPr id="3541933" name="Chart 29">
          <a:extLst>
            <a:ext uri="{FF2B5EF4-FFF2-40B4-BE49-F238E27FC236}">
              <a16:creationId xmlns:a16="http://schemas.microsoft.com/office/drawing/2014/main" id="{00000000-0008-0000-0F00-0000AD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0</xdr:colOff>
      <xdr:row>34</xdr:row>
      <xdr:rowOff>0</xdr:rowOff>
    </xdr:from>
    <xdr:to>
      <xdr:col>9</xdr:col>
      <xdr:colOff>0</xdr:colOff>
      <xdr:row>62</xdr:row>
      <xdr:rowOff>0</xdr:rowOff>
    </xdr:to>
    <xdr:graphicFrame macro="">
      <xdr:nvGraphicFramePr>
        <xdr:cNvPr id="3541934" name="Chart 30">
          <a:extLst>
            <a:ext uri="{FF2B5EF4-FFF2-40B4-BE49-F238E27FC236}">
              <a16:creationId xmlns:a16="http://schemas.microsoft.com/office/drawing/2014/main" id="{00000000-0008-0000-0F00-0000AE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0</xdr:colOff>
      <xdr:row>2</xdr:row>
      <xdr:rowOff>0</xdr:rowOff>
    </xdr:from>
    <xdr:to>
      <xdr:col>8</xdr:col>
      <xdr:colOff>139700</xdr:colOff>
      <xdr:row>30</xdr:row>
      <xdr:rowOff>0</xdr:rowOff>
    </xdr:to>
    <xdr:graphicFrame macro="">
      <xdr:nvGraphicFramePr>
        <xdr:cNvPr id="3541935" name="Chart 31">
          <a:extLst>
            <a:ext uri="{FF2B5EF4-FFF2-40B4-BE49-F238E27FC236}">
              <a16:creationId xmlns:a16="http://schemas.microsoft.com/office/drawing/2014/main" id="{00000000-0008-0000-0F00-0000AF0B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0</xdr:rowOff>
    </xdr:from>
    <xdr:to>
      <xdr:col>9</xdr:col>
      <xdr:colOff>0</xdr:colOff>
      <xdr:row>62</xdr:row>
      <xdr:rowOff>0</xdr:rowOff>
    </xdr:to>
    <xdr:graphicFrame macro="">
      <xdr:nvGraphicFramePr>
        <xdr:cNvPr id="3514841" name="Chart 16">
          <a:extLst>
            <a:ext uri="{FF2B5EF4-FFF2-40B4-BE49-F238E27FC236}">
              <a16:creationId xmlns:a16="http://schemas.microsoft.com/office/drawing/2014/main" id="{00000000-0008-0000-1000-0000D9A13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177800</xdr:colOff>
      <xdr:row>66</xdr:row>
      <xdr:rowOff>0</xdr:rowOff>
    </xdr:from>
    <xdr:to>
      <xdr:col>9</xdr:col>
      <xdr:colOff>0</xdr:colOff>
      <xdr:row>94</xdr:row>
      <xdr:rowOff>0</xdr:rowOff>
    </xdr:to>
    <xdr:graphicFrame macro="">
      <xdr:nvGraphicFramePr>
        <xdr:cNvPr id="3514842" name="Chart 17">
          <a:extLst>
            <a:ext uri="{FF2B5EF4-FFF2-40B4-BE49-F238E27FC236}">
              <a16:creationId xmlns:a16="http://schemas.microsoft.com/office/drawing/2014/main" id="{00000000-0008-0000-1000-0000DAA13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190500</xdr:colOff>
      <xdr:row>97</xdr:row>
      <xdr:rowOff>114300</xdr:rowOff>
    </xdr:from>
    <xdr:to>
      <xdr:col>8</xdr:col>
      <xdr:colOff>139700</xdr:colOff>
      <xdr:row>125</xdr:row>
      <xdr:rowOff>114300</xdr:rowOff>
    </xdr:to>
    <xdr:graphicFrame macro="">
      <xdr:nvGraphicFramePr>
        <xdr:cNvPr id="3514844" name="Chart 19">
          <a:extLst>
            <a:ext uri="{FF2B5EF4-FFF2-40B4-BE49-F238E27FC236}">
              <a16:creationId xmlns:a16="http://schemas.microsoft.com/office/drawing/2014/main" id="{00000000-0008-0000-1000-0000DCA13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194</xdr:row>
      <xdr:rowOff>0</xdr:rowOff>
    </xdr:from>
    <xdr:to>
      <xdr:col>9</xdr:col>
      <xdr:colOff>0</xdr:colOff>
      <xdr:row>222</xdr:row>
      <xdr:rowOff>0</xdr:rowOff>
    </xdr:to>
    <xdr:graphicFrame macro="">
      <xdr:nvGraphicFramePr>
        <xdr:cNvPr id="3514846" name="Chart 21">
          <a:extLst>
            <a:ext uri="{FF2B5EF4-FFF2-40B4-BE49-F238E27FC236}">
              <a16:creationId xmlns:a16="http://schemas.microsoft.com/office/drawing/2014/main" id="{00000000-0008-0000-1000-0000DEA13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2</xdr:row>
      <xdr:rowOff>0</xdr:rowOff>
    </xdr:from>
    <xdr:to>
      <xdr:col>8</xdr:col>
      <xdr:colOff>139700</xdr:colOff>
      <xdr:row>30</xdr:row>
      <xdr:rowOff>0</xdr:rowOff>
    </xdr:to>
    <xdr:graphicFrame macro="">
      <xdr:nvGraphicFramePr>
        <xdr:cNvPr id="3514847" name="Chart 23">
          <a:extLst>
            <a:ext uri="{FF2B5EF4-FFF2-40B4-BE49-F238E27FC236}">
              <a16:creationId xmlns:a16="http://schemas.microsoft.com/office/drawing/2014/main" id="{00000000-0008-0000-1000-0000DFA13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226</xdr:row>
      <xdr:rowOff>0</xdr:rowOff>
    </xdr:from>
    <xdr:to>
      <xdr:col>9</xdr:col>
      <xdr:colOff>0</xdr:colOff>
      <xdr:row>254</xdr:row>
      <xdr:rowOff>0</xdr:rowOff>
    </xdr:to>
    <xdr:graphicFrame macro="">
      <xdr:nvGraphicFramePr>
        <xdr:cNvPr id="3514848" name="Chart 24">
          <a:extLst>
            <a:ext uri="{FF2B5EF4-FFF2-40B4-BE49-F238E27FC236}">
              <a16:creationId xmlns:a16="http://schemas.microsoft.com/office/drawing/2014/main" id="{00000000-0008-0000-1000-0000E0A13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129</xdr:row>
      <xdr:rowOff>114300</xdr:rowOff>
    </xdr:from>
    <xdr:to>
      <xdr:col>9</xdr:col>
      <xdr:colOff>0</xdr:colOff>
      <xdr:row>157</xdr:row>
      <xdr:rowOff>114300</xdr:rowOff>
    </xdr:to>
    <xdr:graphicFrame macro="">
      <xdr:nvGraphicFramePr>
        <xdr:cNvPr id="10" name="Chart 20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0</xdr:colOff>
      <xdr:row>162</xdr:row>
      <xdr:rowOff>0</xdr:rowOff>
    </xdr:from>
    <xdr:to>
      <xdr:col>9</xdr:col>
      <xdr:colOff>0</xdr:colOff>
      <xdr:row>190</xdr:row>
      <xdr:rowOff>0</xdr:rowOff>
    </xdr:to>
    <xdr:graphicFrame macro="">
      <xdr:nvGraphicFramePr>
        <xdr:cNvPr id="11" name="Chart 21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lu.ch/verwaltung/FD/Finanzaufsicht_Gemeinden/Handbuch_Finanzhaushalt/downloads" TargetMode="Externa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44"/>
  <sheetViews>
    <sheetView topLeftCell="A9" zoomScale="213" zoomScaleNormal="213" zoomScalePageLayoutView="150" workbookViewId="0">
      <selection activeCell="F42" sqref="F42"/>
    </sheetView>
  </sheetViews>
  <sheetFormatPr baseColWidth="10" defaultColWidth="11.42578125" defaultRowHeight="12.75"/>
  <cols>
    <col min="1" max="1" width="5.7109375" style="18" customWidth="1"/>
    <col min="2" max="2" width="7.7109375" style="18" customWidth="1"/>
    <col min="3" max="3" width="10.7109375" style="18" customWidth="1"/>
    <col min="4" max="4" width="22.42578125" style="18" customWidth="1"/>
    <col min="5" max="6" width="11.42578125" style="18"/>
    <col min="7" max="8" width="7.7109375" style="18" customWidth="1"/>
    <col min="9" max="11" width="5.7109375" style="18" customWidth="1"/>
    <col min="12" max="16384" width="11.42578125" style="18"/>
  </cols>
  <sheetData>
    <row r="1" spans="2:8">
      <c r="B1" s="1182"/>
      <c r="C1" s="1182"/>
      <c r="D1" s="1182"/>
      <c r="E1" s="1182"/>
      <c r="F1" s="1182"/>
      <c r="G1" s="1182"/>
      <c r="H1" s="1182"/>
    </row>
    <row r="2" spans="2:8">
      <c r="B2" s="1182"/>
      <c r="C2" s="1182"/>
      <c r="D2" s="1182"/>
      <c r="E2" s="1182"/>
      <c r="F2" s="1182"/>
      <c r="G2" s="1182"/>
      <c r="H2" s="1182"/>
    </row>
    <row r="3" spans="2:8">
      <c r="B3" s="1182"/>
      <c r="C3" s="1182"/>
      <c r="D3" s="1182"/>
      <c r="E3" s="1182"/>
      <c r="F3" s="1182"/>
      <c r="G3" s="1182"/>
      <c r="H3" s="1182"/>
    </row>
    <row r="4" spans="2:8" ht="13.5" thickBot="1">
      <c r="B4" s="1183"/>
      <c r="C4" s="1183"/>
      <c r="D4" s="1183"/>
      <c r="E4" s="1183"/>
      <c r="F4" s="1183"/>
      <c r="G4" s="1183"/>
      <c r="H4" s="1183"/>
    </row>
    <row r="5" spans="2:8" ht="20.100000000000001" customHeight="1" thickTop="1">
      <c r="B5" s="1182"/>
      <c r="C5" s="1182"/>
      <c r="D5" s="1182"/>
      <c r="E5" s="1182"/>
      <c r="F5" s="1182"/>
      <c r="G5" s="1182"/>
      <c r="H5" s="1182"/>
    </row>
    <row r="6" spans="2:8" ht="20.100000000000001" customHeight="1">
      <c r="B6" s="1182"/>
      <c r="C6" s="1182"/>
      <c r="D6" s="1182"/>
      <c r="E6" s="1182"/>
      <c r="F6" s="1182"/>
      <c r="G6" s="1182"/>
      <c r="H6" s="1182"/>
    </row>
    <row r="7" spans="2:8" ht="30.75">
      <c r="B7" s="1182"/>
      <c r="C7" s="1367" t="s">
        <v>330</v>
      </c>
      <c r="D7" s="1368"/>
      <c r="E7" s="1368"/>
      <c r="F7" s="1368"/>
      <c r="G7" s="1368"/>
      <c r="H7" s="1368"/>
    </row>
    <row r="8" spans="2:8" ht="30">
      <c r="B8" s="1182"/>
      <c r="C8" s="1184"/>
      <c r="D8" s="1182"/>
      <c r="E8" s="1182"/>
      <c r="F8" s="1182"/>
      <c r="G8" s="1182"/>
      <c r="H8" s="1182"/>
    </row>
    <row r="9" spans="2:8" ht="30">
      <c r="B9" s="1182"/>
      <c r="C9" s="1185"/>
      <c r="D9" s="1182"/>
      <c r="E9" s="1182"/>
      <c r="F9" s="1182"/>
      <c r="G9" s="1182"/>
      <c r="H9" s="1182"/>
    </row>
    <row r="10" spans="2:8" ht="30.75">
      <c r="B10" s="1171"/>
      <c r="C10" s="1369" t="str">
        <f>Budget2&amp;" bis "&amp;Budget2+5</f>
        <v>2022 bis 2027</v>
      </c>
      <c r="D10" s="1370"/>
      <c r="E10" s="1370"/>
      <c r="F10" s="1370"/>
      <c r="G10" s="1370"/>
      <c r="H10" s="1370"/>
    </row>
    <row r="11" spans="2:8" ht="30">
      <c r="B11" s="1171"/>
      <c r="C11" s="1172"/>
      <c r="D11" s="1171"/>
      <c r="E11" s="1171"/>
      <c r="F11" s="1171"/>
      <c r="G11" s="1171"/>
      <c r="H11" s="1171"/>
    </row>
    <row r="12" spans="2:8" ht="30">
      <c r="B12" s="1171"/>
      <c r="C12" s="1172"/>
      <c r="D12" s="1171"/>
      <c r="E12" s="1171"/>
      <c r="F12" s="1171"/>
      <c r="G12" s="1171"/>
      <c r="H12" s="1171"/>
    </row>
    <row r="13" spans="2:8" ht="30.75">
      <c r="B13" s="1171"/>
      <c r="C13" s="1369" t="str">
        <f>"der Gemeinde "&amp;Gemeinde</f>
        <v>der Gemeinde Menznau</v>
      </c>
      <c r="D13" s="1370"/>
      <c r="E13" s="1370"/>
      <c r="F13" s="1370"/>
      <c r="G13" s="1370"/>
      <c r="H13" s="1370"/>
    </row>
    <row r="14" spans="2:8" ht="20.100000000000001" customHeight="1">
      <c r="B14" s="1171"/>
      <c r="C14" s="1173"/>
      <c r="D14" s="1171"/>
      <c r="E14" s="1171"/>
      <c r="F14" s="1171"/>
      <c r="G14" s="1171"/>
      <c r="H14" s="1171"/>
    </row>
    <row r="15" spans="2:8" ht="20.100000000000001" customHeight="1">
      <c r="B15" s="1171"/>
      <c r="C15" s="1173"/>
      <c r="D15" s="1171"/>
      <c r="E15" s="1171"/>
      <c r="F15" s="1171"/>
      <c r="G15" s="1171"/>
      <c r="H15" s="1171"/>
    </row>
    <row r="16" spans="2:8" ht="20.100000000000001" customHeight="1">
      <c r="B16" s="1171"/>
      <c r="C16" s="1174" t="str">
        <f>"erstellt am "</f>
        <v xml:space="preserve">erstellt am </v>
      </c>
      <c r="D16" s="1175">
        <f ca="1">TODAY()</f>
        <v>42987</v>
      </c>
      <c r="E16" s="1171"/>
      <c r="F16" s="1171"/>
      <c r="G16" s="1171"/>
      <c r="H16" s="1171"/>
    </row>
    <row r="17" spans="2:8" ht="20.100000000000001" customHeight="1" thickBot="1">
      <c r="B17" s="1176"/>
      <c r="C17" s="1177"/>
      <c r="D17" s="1176"/>
      <c r="E17" s="1176"/>
      <c r="F17" s="1176"/>
      <c r="G17" s="1176"/>
      <c r="H17" s="1176"/>
    </row>
    <row r="18" spans="2:8" ht="26.25" thickTop="1">
      <c r="B18" s="1171"/>
      <c r="C18" s="1178"/>
      <c r="D18" s="1171"/>
      <c r="E18" s="1171"/>
      <c r="F18" s="1171"/>
      <c r="G18" s="1171"/>
      <c r="H18" s="1171"/>
    </row>
    <row r="19" spans="2:8">
      <c r="B19" s="1171"/>
      <c r="C19" s="1171"/>
      <c r="D19" s="1171"/>
      <c r="E19" s="1171"/>
      <c r="F19" s="1171"/>
      <c r="G19" s="1171"/>
      <c r="H19" s="1171"/>
    </row>
    <row r="20" spans="2:8">
      <c r="B20" s="1171"/>
      <c r="C20" s="1174"/>
      <c r="D20" s="1179"/>
      <c r="E20" s="1171"/>
      <c r="F20" s="1171"/>
      <c r="G20" s="1171"/>
      <c r="H20" s="1171"/>
    </row>
    <row r="21" spans="2:8">
      <c r="B21" s="1171"/>
      <c r="C21" s="1174"/>
      <c r="D21" s="1179"/>
      <c r="E21" s="1171"/>
      <c r="F21" s="1171"/>
      <c r="G21" s="1171"/>
      <c r="H21" s="1171"/>
    </row>
    <row r="22" spans="2:8">
      <c r="B22" s="1171"/>
      <c r="C22" s="1174"/>
      <c r="D22" s="1179"/>
      <c r="E22" s="1171"/>
      <c r="F22" s="1171"/>
      <c r="G22" s="1171"/>
      <c r="H22" s="1171"/>
    </row>
    <row r="23" spans="2:8">
      <c r="B23" s="1171"/>
      <c r="C23" s="1174"/>
      <c r="D23" s="1179"/>
      <c r="E23" s="1171"/>
      <c r="F23" s="1171"/>
      <c r="G23" s="1171"/>
      <c r="H23" s="1171"/>
    </row>
    <row r="24" spans="2:8">
      <c r="B24" s="1171"/>
      <c r="C24" s="1174"/>
      <c r="D24" s="1179"/>
      <c r="E24" s="1171"/>
      <c r="F24" s="1171"/>
      <c r="G24" s="1171"/>
      <c r="H24" s="1171"/>
    </row>
    <row r="25" spans="2:8">
      <c r="B25" s="1171"/>
      <c r="C25" s="1174"/>
      <c r="D25" s="1179"/>
      <c r="E25" s="1171"/>
      <c r="F25" s="1171"/>
      <c r="G25" s="1171"/>
      <c r="H25" s="1171"/>
    </row>
    <row r="26" spans="2:8">
      <c r="B26" s="1171"/>
      <c r="C26" s="1174"/>
      <c r="D26" s="1179"/>
      <c r="E26" s="1171"/>
      <c r="F26" s="1171"/>
      <c r="G26" s="1171"/>
      <c r="H26" s="1171"/>
    </row>
    <row r="27" spans="2:8">
      <c r="B27" s="1171"/>
      <c r="C27" s="1174"/>
      <c r="D27" s="1179" t="s">
        <v>57</v>
      </c>
      <c r="E27" s="1171"/>
      <c r="F27" s="1171"/>
      <c r="G27" s="1171"/>
      <c r="H27" s="1171"/>
    </row>
    <row r="28" spans="2:8">
      <c r="B28" s="1171"/>
      <c r="C28" s="1174"/>
      <c r="D28" s="1179"/>
      <c r="E28" s="1171"/>
      <c r="F28" s="1171"/>
      <c r="G28" s="1171"/>
      <c r="H28" s="1171"/>
    </row>
    <row r="29" spans="2:8">
      <c r="B29" s="1171"/>
      <c r="C29" s="1174"/>
      <c r="D29" s="1179"/>
      <c r="E29" s="1171"/>
      <c r="F29" s="1171"/>
      <c r="G29" s="1171"/>
      <c r="H29" s="1171"/>
    </row>
    <row r="30" spans="2:8">
      <c r="B30" s="1171"/>
      <c r="C30" s="1174"/>
      <c r="D30" s="1179"/>
      <c r="E30" s="1171"/>
      <c r="F30" s="1171"/>
      <c r="G30" s="1171"/>
      <c r="H30" s="1171"/>
    </row>
    <row r="31" spans="2:8">
      <c r="B31" s="1171"/>
      <c r="C31" s="1174"/>
      <c r="D31" s="1179"/>
      <c r="E31" s="1171"/>
      <c r="F31" s="1171"/>
      <c r="G31" s="1171"/>
      <c r="H31" s="1171"/>
    </row>
    <row r="33" spans="2:8">
      <c r="B33" s="1171"/>
      <c r="C33" s="1174"/>
      <c r="D33" s="1179"/>
      <c r="E33" s="1171"/>
      <c r="F33" s="1171"/>
      <c r="G33" s="1171"/>
      <c r="H33" s="1171"/>
    </row>
    <row r="34" spans="2:8">
      <c r="B34" s="1171"/>
      <c r="C34" s="1174"/>
      <c r="D34" s="1179"/>
      <c r="E34" s="1171"/>
      <c r="F34" s="1171"/>
      <c r="G34" s="1171"/>
      <c r="H34" s="1171"/>
    </row>
    <row r="35" spans="2:8">
      <c r="B35" s="1171"/>
      <c r="C35" s="1174"/>
      <c r="D35" s="1179"/>
      <c r="E35" s="1171"/>
      <c r="F35" s="1171"/>
      <c r="G35" s="1171"/>
      <c r="H35" s="1171"/>
    </row>
    <row r="36" spans="2:8">
      <c r="B36" s="1186"/>
      <c r="C36" s="1187"/>
      <c r="D36" s="1188"/>
      <c r="E36" s="1186"/>
      <c r="F36" s="1186"/>
      <c r="G36" s="1186"/>
      <c r="H36" s="1186"/>
    </row>
    <row r="37" spans="2:8" ht="6.95" customHeight="1">
      <c r="C37" s="56"/>
      <c r="D37" s="63"/>
    </row>
    <row r="38" spans="2:8" ht="6" customHeight="1"/>
    <row r="39" spans="2:8" ht="9.9499999999999993" customHeight="1">
      <c r="B39" s="1" t="s">
        <v>9</v>
      </c>
      <c r="C39" s="1"/>
      <c r="D39" s="1"/>
      <c r="E39" s="1"/>
      <c r="F39" s="1"/>
      <c r="G39" s="1"/>
      <c r="H39" s="204" t="s">
        <v>370</v>
      </c>
    </row>
    <row r="40" spans="2:8" ht="9.9499999999999993" customHeight="1">
      <c r="B40" s="1" t="s">
        <v>318</v>
      </c>
      <c r="C40" s="1"/>
      <c r="D40" s="1"/>
      <c r="E40" s="1"/>
      <c r="F40" s="1"/>
      <c r="G40" s="1"/>
    </row>
    <row r="41" spans="2:8" ht="17.100000000000001" customHeight="1">
      <c r="B41" s="1" t="s">
        <v>296</v>
      </c>
      <c r="C41" s="1"/>
      <c r="D41" s="1"/>
      <c r="E41" s="1"/>
      <c r="F41" s="1"/>
      <c r="G41" s="1"/>
      <c r="H41" s="1"/>
    </row>
    <row r="42" spans="2:8" ht="9.9499999999999993" customHeight="1">
      <c r="B42" s="208" t="s">
        <v>297</v>
      </c>
      <c r="C42" s="1"/>
      <c r="D42" s="1"/>
      <c r="E42" s="1"/>
      <c r="F42" s="1"/>
      <c r="G42" s="1"/>
      <c r="H42" s="1"/>
    </row>
    <row r="43" spans="2:8" ht="15" customHeight="1">
      <c r="B43" s="1" t="s">
        <v>298</v>
      </c>
      <c r="C43" s="1"/>
      <c r="D43" s="1"/>
      <c r="E43" s="1"/>
      <c r="F43" s="1"/>
      <c r="G43" s="1"/>
      <c r="H43" s="1"/>
    </row>
    <row r="44" spans="2:8" ht="9.9499999999999993" customHeight="1">
      <c r="B44" s="1" t="s">
        <v>294</v>
      </c>
      <c r="C44" s="1"/>
      <c r="D44" s="1"/>
      <c r="E44" s="1"/>
      <c r="F44" s="1"/>
      <c r="G44" s="1"/>
      <c r="H44" s="1"/>
    </row>
  </sheetData>
  <sheetProtection algorithmName="SHA-512" hashValue="dmVBa+1p0MY9y/0bQ8ONg1caRV0yYNLXoL12rntDZaRqfRi7Pt+PikO4ubojRoQJDNfV+RFtrhSR6+E90Hvf6g==" saltValue="pEtAdnAdwTf43CW+BZT49Q==" spinCount="100000" sheet="1" objects="1" scenarios="1" formatCells="0" formatColumns="0" formatRows="0"/>
  <mergeCells count="3">
    <mergeCell ref="C7:H7"/>
    <mergeCell ref="C10:H10"/>
    <mergeCell ref="C13:H13"/>
  </mergeCells>
  <phoneticPr fontId="2" type="noConversion"/>
  <pageMargins left="0.74803149606299213" right="0.74803149606299213" top="0.98425196850393704" bottom="0.98425196850393704" header="0.51181102362204722" footer="0.51181102362204722"/>
  <pageSetup paperSize="9" scale="97" orientation="portrait" r:id="rId1"/>
  <extLst>
    <ext xmlns:mx="http://schemas.microsoft.com/office/mac/excel/2008/main" uri="{64002731-A6B0-56B0-2670-7721B7C09600}">
      <mx:PLV Mode="1" OnePage="0" WScale="10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I86"/>
  <sheetViews>
    <sheetView tabSelected="1" topLeftCell="A2" zoomScale="120" zoomScaleNormal="120" zoomScalePageLayoutView="120" workbookViewId="0">
      <pane xSplit="5" ySplit="14" topLeftCell="F44" activePane="bottomRight" state="frozenSplit"/>
      <selection activeCell="M11" sqref="M11"/>
      <selection pane="topRight" activeCell="P2" sqref="P2"/>
      <selection pane="bottomLeft" activeCell="M11" sqref="M11"/>
      <selection pane="bottomRight" activeCell="C77" sqref="C77"/>
    </sheetView>
  </sheetViews>
  <sheetFormatPr baseColWidth="10" defaultColWidth="11.42578125" defaultRowHeight="11.25" outlineLevelRow="1"/>
  <cols>
    <col min="1" max="1" width="4.7109375" style="660" customWidth="1"/>
    <col min="2" max="2" width="6" style="94" customWidth="1"/>
    <col min="3" max="3" width="5.85546875" style="624" customWidth="1"/>
    <col min="4" max="4" width="4.28515625" style="624" customWidth="1"/>
    <col min="5" max="5" width="37" style="94" customWidth="1"/>
    <col min="6" max="6" width="7" style="94" customWidth="1"/>
    <col min="7" max="7" width="4" style="149" customWidth="1"/>
    <col min="8" max="8" width="6.42578125" style="149" customWidth="1"/>
    <col min="9" max="15" width="6.7109375" style="94" customWidth="1"/>
    <col min="16" max="16" width="4.42578125" style="1063" customWidth="1"/>
    <col min="17" max="22" width="6.7109375" style="94" customWidth="1"/>
    <col min="23" max="23" width="5.140625" style="1063" customWidth="1"/>
    <col min="24" max="30" width="6.7109375" style="149" customWidth="1"/>
    <col min="31" max="31" width="4" style="936" customWidth="1"/>
    <col min="32" max="16384" width="11.42578125" style="94"/>
  </cols>
  <sheetData>
    <row r="1" spans="1:31" s="80" customFormat="1" ht="12">
      <c r="A1" s="1050"/>
      <c r="B1" s="758" t="str">
        <f>"Aufgaben- und Finanzplan "&amp;TEXT(Budget2,0)&amp;" - "&amp;TEXT(Finz1+4,0)</f>
        <v>Aufgaben- und Finanzplan 2022 - 2027</v>
      </c>
      <c r="C1" s="617"/>
      <c r="D1" s="617"/>
      <c r="F1" s="82"/>
      <c r="G1" s="125"/>
      <c r="H1" s="125"/>
      <c r="K1" s="79"/>
      <c r="M1" s="79"/>
      <c r="N1" s="79"/>
      <c r="O1" s="79" t="str">
        <f>"Gemeinde "&amp;TEXT(Gemeinde,0)</f>
        <v>Gemeinde Menznau</v>
      </c>
      <c r="P1" s="1058"/>
      <c r="Q1" s="342"/>
      <c r="R1" s="342"/>
      <c r="S1" s="342"/>
      <c r="T1" s="342"/>
      <c r="U1" s="342"/>
      <c r="V1" s="342"/>
      <c r="W1" s="79" t="str">
        <f>"Gemeinde "&amp;TEXT(Gemeinde,0)</f>
        <v>Gemeinde Menznau</v>
      </c>
      <c r="X1" s="125"/>
      <c r="Y1" s="125"/>
      <c r="Z1" s="125"/>
      <c r="AA1" s="125"/>
      <c r="AB1" s="125"/>
      <c r="AC1" s="342"/>
      <c r="AD1" s="79" t="str">
        <f>"Gemeinde "&amp;TEXT(Gemeinde,0)</f>
        <v>Gemeinde Menznau</v>
      </c>
      <c r="AE1" s="304"/>
    </row>
    <row r="2" spans="1:31" s="86" customFormat="1">
      <c r="A2" s="660"/>
      <c r="C2" s="618"/>
      <c r="D2" s="618"/>
      <c r="F2" s="94"/>
      <c r="G2" s="126"/>
      <c r="H2" s="126"/>
      <c r="P2" s="660" t="s">
        <v>57</v>
      </c>
      <c r="Q2" s="199"/>
      <c r="R2" s="199"/>
      <c r="S2" s="199"/>
      <c r="T2" s="199"/>
      <c r="U2" s="199"/>
      <c r="V2" s="199"/>
      <c r="W2" s="660"/>
      <c r="X2" s="199"/>
      <c r="Y2" s="199"/>
      <c r="Z2" s="199"/>
      <c r="AA2" s="126"/>
      <c r="AB2" s="126"/>
      <c r="AC2" s="126"/>
      <c r="AD2" s="126"/>
      <c r="AE2" s="936"/>
    </row>
    <row r="3" spans="1:31" s="82" customFormat="1">
      <c r="A3" s="1051"/>
      <c r="B3" s="84" t="s">
        <v>147</v>
      </c>
      <c r="C3" s="619"/>
      <c r="D3" s="619"/>
      <c r="E3" s="84"/>
      <c r="F3" s="84"/>
      <c r="G3" s="127"/>
      <c r="H3" s="127"/>
      <c r="O3" s="83" t="s">
        <v>2</v>
      </c>
      <c r="P3" s="1051"/>
      <c r="R3" s="84" t="s">
        <v>130</v>
      </c>
      <c r="W3" s="1051"/>
      <c r="X3" s="185"/>
      <c r="Y3" s="340"/>
      <c r="Z3" s="340"/>
      <c r="AA3" s="340"/>
      <c r="AB3" s="340"/>
      <c r="AC3" s="340"/>
      <c r="AD3" s="340"/>
      <c r="AE3" s="1068"/>
    </row>
    <row r="4" spans="1:31" s="82" customFormat="1">
      <c r="A4" s="1051"/>
      <c r="B4" s="84"/>
      <c r="C4" s="619"/>
      <c r="D4" s="619"/>
      <c r="E4" s="1256"/>
      <c r="F4" s="84"/>
      <c r="H4" s="127"/>
      <c r="O4" s="83"/>
      <c r="P4" s="1051"/>
      <c r="W4" s="1051"/>
      <c r="Y4" s="340"/>
      <c r="Z4" s="340"/>
      <c r="AA4" s="340"/>
      <c r="AB4" s="340"/>
      <c r="AC4" s="340"/>
      <c r="AD4" s="340"/>
      <c r="AE4" s="1068"/>
    </row>
    <row r="5" spans="1:31" s="82" customFormat="1">
      <c r="A5" s="1051"/>
      <c r="B5" s="84"/>
      <c r="C5" s="619"/>
      <c r="D5" s="619"/>
      <c r="E5" s="1257"/>
      <c r="F5" s="84"/>
      <c r="H5" s="127"/>
      <c r="O5" s="83"/>
      <c r="P5" s="1051"/>
      <c r="Q5" s="936"/>
      <c r="W5" s="1051"/>
      <c r="X5" s="340"/>
      <c r="Y5" s="340"/>
      <c r="Z5" s="340"/>
      <c r="AA5" s="340"/>
      <c r="AB5" s="340"/>
      <c r="AC5" s="340"/>
      <c r="AD5" s="340"/>
      <c r="AE5" s="1068"/>
    </row>
    <row r="6" spans="1:31" s="95" customFormat="1" ht="12" customHeight="1">
      <c r="A6" s="660"/>
      <c r="B6" s="339"/>
      <c r="C6" s="620"/>
      <c r="D6" s="620"/>
      <c r="G6" s="126" t="s">
        <v>83</v>
      </c>
      <c r="H6" s="94"/>
      <c r="P6" s="339"/>
      <c r="Q6" s="937"/>
      <c r="W6" s="339"/>
      <c r="X6" s="128"/>
      <c r="Y6" s="341"/>
      <c r="Z6" s="128"/>
      <c r="AA6" s="128"/>
      <c r="AB6" s="128"/>
      <c r="AC6" s="341"/>
      <c r="AD6" s="128"/>
      <c r="AE6" s="937"/>
    </row>
    <row r="7" spans="1:31" s="87" customFormat="1" ht="12" customHeight="1">
      <c r="A7" s="1052"/>
      <c r="B7" s="625" t="s">
        <v>127</v>
      </c>
      <c r="C7" s="625" t="s">
        <v>129</v>
      </c>
      <c r="D7" s="628" t="s">
        <v>218</v>
      </c>
      <c r="E7" s="130"/>
      <c r="F7" s="1449" t="str">
        <f>"Total "&amp;Budget2&amp;" bis "&amp;TEXT(N9,0)</f>
        <v>Total 2022 bis 2027</v>
      </c>
      <c r="G7" s="131"/>
      <c r="H7" s="131" t="s">
        <v>212</v>
      </c>
      <c r="I7" s="287" t="s">
        <v>148</v>
      </c>
      <c r="J7" s="132"/>
      <c r="K7" s="132"/>
      <c r="L7" s="132"/>
      <c r="M7" s="132"/>
      <c r="N7" s="132"/>
      <c r="O7" s="133"/>
      <c r="P7" s="1059"/>
      <c r="Q7" s="288" t="s">
        <v>325</v>
      </c>
      <c r="R7" s="285"/>
      <c r="S7" s="285"/>
      <c r="T7" s="285"/>
      <c r="U7" s="285"/>
      <c r="V7" s="286"/>
      <c r="W7" s="1052"/>
      <c r="X7" s="284" t="s">
        <v>149</v>
      </c>
      <c r="Y7" s="282"/>
      <c r="Z7" s="283"/>
      <c r="AA7" s="283"/>
      <c r="AB7" s="283"/>
      <c r="AC7" s="283"/>
      <c r="AD7" s="286"/>
      <c r="AE7" s="1069"/>
    </row>
    <row r="8" spans="1:31" s="87" customFormat="1" ht="12" customHeight="1">
      <c r="A8" s="1051"/>
      <c r="B8" s="626" t="s">
        <v>128</v>
      </c>
      <c r="C8" s="626" t="s">
        <v>220</v>
      </c>
      <c r="D8" s="629" t="s">
        <v>222</v>
      </c>
      <c r="E8" s="129"/>
      <c r="F8" s="1450"/>
      <c r="G8" s="134"/>
      <c r="H8" s="134" t="s">
        <v>213</v>
      </c>
      <c r="I8" s="873" t="s">
        <v>32</v>
      </c>
      <c r="J8" s="285" t="s">
        <v>26</v>
      </c>
      <c r="K8" s="285"/>
      <c r="L8" s="285"/>
      <c r="M8" s="285"/>
      <c r="N8" s="286"/>
      <c r="O8" s="286"/>
      <c r="P8" s="1059"/>
      <c r="Q8" s="873" t="s">
        <v>32</v>
      </c>
      <c r="R8" s="135" t="s">
        <v>26</v>
      </c>
      <c r="S8" s="135"/>
      <c r="T8" s="135"/>
      <c r="U8" s="135"/>
      <c r="V8" s="286"/>
      <c r="W8" s="1052"/>
      <c r="X8" s="288" t="s">
        <v>217</v>
      </c>
      <c r="Y8" s="873" t="s">
        <v>32</v>
      </c>
      <c r="Z8" s="289"/>
      <c r="AA8" s="289"/>
      <c r="AB8" s="289"/>
      <c r="AC8" s="289"/>
      <c r="AD8" s="878"/>
      <c r="AE8" s="1069"/>
    </row>
    <row r="9" spans="1:31" s="87" customFormat="1" ht="12" customHeight="1">
      <c r="A9" s="1051"/>
      <c r="B9" s="627" t="s">
        <v>219</v>
      </c>
      <c r="C9" s="627" t="s">
        <v>221</v>
      </c>
      <c r="D9" s="871" t="s">
        <v>285</v>
      </c>
      <c r="E9" s="136" t="s">
        <v>3</v>
      </c>
      <c r="F9" s="1451"/>
      <c r="G9" s="137" t="s">
        <v>59</v>
      </c>
      <c r="H9" s="137" t="s">
        <v>214</v>
      </c>
      <c r="I9" s="281">
        <f>Budget2</f>
        <v>2022</v>
      </c>
      <c r="J9" s="872">
        <f>Finz1</f>
        <v>2023</v>
      </c>
      <c r="K9" s="138">
        <f>J9+1</f>
        <v>2024</v>
      </c>
      <c r="L9" s="138">
        <f>K9+1</f>
        <v>2025</v>
      </c>
      <c r="M9" s="138">
        <f>L9+1</f>
        <v>2026</v>
      </c>
      <c r="N9" s="883">
        <f>M9+1</f>
        <v>2027</v>
      </c>
      <c r="O9" s="878" t="s">
        <v>5</v>
      </c>
      <c r="P9" s="1059"/>
      <c r="Q9" s="281">
        <f>Budget2</f>
        <v>2022</v>
      </c>
      <c r="R9" s="872">
        <f>Finz1</f>
        <v>2023</v>
      </c>
      <c r="S9" s="138">
        <f>R9+1</f>
        <v>2024</v>
      </c>
      <c r="T9" s="138">
        <f>S9+1</f>
        <v>2025</v>
      </c>
      <c r="U9" s="138">
        <f>T9+1</f>
        <v>2026</v>
      </c>
      <c r="V9" s="883">
        <f>U9+1</f>
        <v>2027</v>
      </c>
      <c r="W9" s="1052"/>
      <c r="X9" s="281">
        <f>Budget1</f>
        <v>2021</v>
      </c>
      <c r="Y9" s="281">
        <f>Q9</f>
        <v>2022</v>
      </c>
      <c r="Z9" s="872">
        <f>R9</f>
        <v>2023</v>
      </c>
      <c r="AA9" s="138">
        <f>S9</f>
        <v>2024</v>
      </c>
      <c r="AB9" s="138">
        <f t="shared" ref="AB9:AD9" si="0">T9</f>
        <v>2025</v>
      </c>
      <c r="AC9" s="138">
        <f t="shared" si="0"/>
        <v>2026</v>
      </c>
      <c r="AD9" s="883">
        <f t="shared" si="0"/>
        <v>2027</v>
      </c>
      <c r="AE9" s="1070" t="s">
        <v>241</v>
      </c>
    </row>
    <row r="10" spans="1:31" s="140" customFormat="1">
      <c r="A10" s="1053"/>
      <c r="B10" s="139"/>
      <c r="C10" s="621"/>
      <c r="D10" s="621"/>
      <c r="F10" s="141"/>
      <c r="G10" s="142"/>
      <c r="H10" s="142"/>
      <c r="I10" s="874"/>
      <c r="J10" s="143"/>
      <c r="K10" s="144"/>
      <c r="L10" s="144"/>
      <c r="M10" s="144"/>
      <c r="N10" s="879"/>
      <c r="O10" s="879"/>
      <c r="P10" s="1059"/>
      <c r="Q10" s="874"/>
      <c r="R10" s="143"/>
      <c r="S10" s="144"/>
      <c r="T10" s="144"/>
      <c r="U10" s="144"/>
      <c r="V10" s="879"/>
      <c r="W10" s="1064"/>
      <c r="X10" s="335"/>
      <c r="Y10" s="891"/>
      <c r="Z10" s="336"/>
      <c r="AA10" s="336"/>
      <c r="AB10" s="336"/>
      <c r="AC10" s="336"/>
      <c r="AD10" s="896"/>
      <c r="AE10" s="884"/>
    </row>
    <row r="11" spans="1:31" s="713" customFormat="1" ht="22.5">
      <c r="A11" s="1054"/>
      <c r="B11" s="714"/>
      <c r="C11" s="715"/>
      <c r="D11" s="715"/>
      <c r="E11" s="713" t="s">
        <v>322</v>
      </c>
      <c r="F11" s="716"/>
      <c r="G11" s="717"/>
      <c r="H11" s="717"/>
      <c r="I11" s="875"/>
      <c r="J11" s="718"/>
      <c r="K11" s="719"/>
      <c r="L11" s="719"/>
      <c r="M11" s="719"/>
      <c r="N11" s="880"/>
      <c r="O11" s="880"/>
      <c r="P11" s="1059"/>
      <c r="Q11" s="876">
        <f t="shared" ref="Q11:V11" si="1">SUMIF($AE17:$AE187,"F",Q17:Q187)</f>
        <v>1340</v>
      </c>
      <c r="R11" s="725">
        <f t="shared" si="1"/>
        <v>1202</v>
      </c>
      <c r="S11" s="720">
        <f t="shared" si="1"/>
        <v>1096</v>
      </c>
      <c r="T11" s="720">
        <f t="shared" si="1"/>
        <v>1076</v>
      </c>
      <c r="U11" s="720">
        <f t="shared" si="1"/>
        <v>1070</v>
      </c>
      <c r="V11" s="881">
        <f t="shared" si="1"/>
        <v>991</v>
      </c>
      <c r="W11" s="1065"/>
      <c r="X11" s="721"/>
      <c r="Y11" s="893"/>
      <c r="Z11" s="722"/>
      <c r="AA11" s="722"/>
      <c r="AB11" s="722"/>
      <c r="AC11" s="722"/>
      <c r="AD11" s="897"/>
      <c r="AE11" s="1071"/>
    </row>
    <row r="12" spans="1:31" s="713" customFormat="1">
      <c r="A12" s="1054"/>
      <c r="B12" s="714"/>
      <c r="C12" s="715"/>
      <c r="D12" s="715"/>
      <c r="E12" s="713" t="s">
        <v>323</v>
      </c>
      <c r="F12" s="716"/>
      <c r="G12" s="717"/>
      <c r="H12" s="717"/>
      <c r="I12" s="875"/>
      <c r="J12" s="718"/>
      <c r="K12" s="719"/>
      <c r="L12" s="719"/>
      <c r="M12" s="719"/>
      <c r="N12" s="880"/>
      <c r="O12" s="880"/>
      <c r="P12" s="1059"/>
      <c r="Q12" s="876">
        <f>+'F2 Weiterführung ER'!H29</f>
        <v>64</v>
      </c>
      <c r="R12" s="725">
        <f>+'F2 Weiterführung ER'!I29</f>
        <v>64</v>
      </c>
      <c r="S12" s="720">
        <f>+'F2 Weiterführung ER'!J29</f>
        <v>64</v>
      </c>
      <c r="T12" s="720">
        <f>+'F2 Weiterführung ER'!K29</f>
        <v>64</v>
      </c>
      <c r="U12" s="720">
        <f>+'F2 Weiterführung ER'!L29</f>
        <v>64</v>
      </c>
      <c r="V12" s="881">
        <f>+'F2 Weiterführung ER'!M29</f>
        <v>64</v>
      </c>
      <c r="W12" s="1065"/>
      <c r="X12" s="721"/>
      <c r="Y12" s="893"/>
      <c r="Z12" s="722"/>
      <c r="AA12" s="722"/>
      <c r="AB12" s="722"/>
      <c r="AC12" s="722"/>
      <c r="AD12" s="897"/>
      <c r="AE12" s="1071"/>
    </row>
    <row r="13" spans="1:31" s="713" customFormat="1">
      <c r="A13" s="1054"/>
      <c r="B13" s="714"/>
      <c r="C13" s="715"/>
      <c r="D13" s="715"/>
      <c r="E13" s="713" t="s">
        <v>154</v>
      </c>
      <c r="F13" s="723"/>
      <c r="G13" s="724"/>
      <c r="H13" s="724"/>
      <c r="I13" s="876"/>
      <c r="J13" s="725"/>
      <c r="K13" s="720"/>
      <c r="L13" s="720"/>
      <c r="M13" s="720"/>
      <c r="N13" s="881"/>
      <c r="O13" s="881"/>
      <c r="P13" s="1059"/>
      <c r="Q13" s="876"/>
      <c r="R13" s="725">
        <f>R14-R11-R12</f>
        <v>0</v>
      </c>
      <c r="S13" s="720">
        <f>S14-S11-S12</f>
        <v>188.88030303030291</v>
      </c>
      <c r="T13" s="720">
        <f>T14-T11-T12</f>
        <v>280.92575757575764</v>
      </c>
      <c r="U13" s="720">
        <f>U14-U11-U12</f>
        <v>380.97121212121215</v>
      </c>
      <c r="V13" s="881">
        <f>V14-V11-V12</f>
        <v>450.4969696969697</v>
      </c>
      <c r="W13" s="1065"/>
      <c r="X13" s="721"/>
      <c r="Y13" s="893"/>
      <c r="Z13" s="722"/>
      <c r="AA13" s="722"/>
      <c r="AB13" s="722"/>
      <c r="AC13" s="722"/>
      <c r="AD13" s="897"/>
      <c r="AE13" s="1071"/>
    </row>
    <row r="14" spans="1:31" s="233" customFormat="1">
      <c r="A14" s="1055"/>
      <c r="B14" s="234"/>
      <c r="C14" s="726"/>
      <c r="D14" s="726"/>
      <c r="E14" s="727" t="s">
        <v>146</v>
      </c>
      <c r="F14" s="876">
        <f>SUMIF($AE17:$AE187,"T",F17:F187)</f>
        <v>15695</v>
      </c>
      <c r="G14" s="724"/>
      <c r="H14" s="724"/>
      <c r="I14" s="876">
        <f t="shared" ref="I14:O14" si="2">SUMIF($AE17:$AE187,"T",I17:I187)</f>
        <v>2815</v>
      </c>
      <c r="J14" s="725">
        <f t="shared" si="2"/>
        <v>3445</v>
      </c>
      <c r="K14" s="720">
        <f t="shared" si="2"/>
        <v>3445</v>
      </c>
      <c r="L14" s="720">
        <f t="shared" si="2"/>
        <v>2850</v>
      </c>
      <c r="M14" s="720">
        <f t="shared" si="2"/>
        <v>1880</v>
      </c>
      <c r="N14" s="881">
        <f t="shared" si="2"/>
        <v>1260</v>
      </c>
      <c r="O14" s="876">
        <f t="shared" si="2"/>
        <v>1070</v>
      </c>
      <c r="P14" s="1060"/>
      <c r="Q14" s="876">
        <f t="shared" ref="Q14:V14" si="3">SUMIF($AE17:$AE187,"T",Q17:Q187)+Q12</f>
        <v>1404</v>
      </c>
      <c r="R14" s="725">
        <f t="shared" si="3"/>
        <v>1266</v>
      </c>
      <c r="S14" s="720">
        <f t="shared" si="3"/>
        <v>1348.8803030303029</v>
      </c>
      <c r="T14" s="720">
        <f t="shared" si="3"/>
        <v>1420.9257575757576</v>
      </c>
      <c r="U14" s="720">
        <f t="shared" si="3"/>
        <v>1514.9712121212121</v>
      </c>
      <c r="V14" s="881">
        <f t="shared" si="3"/>
        <v>1505.4969696969697</v>
      </c>
      <c r="W14" s="1066"/>
      <c r="X14" s="728">
        <f>'F1a Ausgangsbilanz'!F80</f>
        <v>23977</v>
      </c>
      <c r="Y14" s="894">
        <f t="shared" ref="Y14:AD14" si="4">X14+SUMIF($AE17:$AE187,"t",I17:I187)-Q14</f>
        <v>25388</v>
      </c>
      <c r="Z14" s="729">
        <f t="shared" si="4"/>
        <v>27567</v>
      </c>
      <c r="AA14" s="729">
        <f t="shared" si="4"/>
        <v>29663.119696969698</v>
      </c>
      <c r="AB14" s="729">
        <f t="shared" si="4"/>
        <v>31092.193939393939</v>
      </c>
      <c r="AC14" s="729">
        <f t="shared" si="4"/>
        <v>31457.222727272729</v>
      </c>
      <c r="AD14" s="898">
        <f t="shared" si="4"/>
        <v>31211.725757575758</v>
      </c>
      <c r="AE14" s="1071"/>
    </row>
    <row r="15" spans="1:31" s="259" customFormat="1">
      <c r="A15" s="1056"/>
      <c r="B15" s="234"/>
      <c r="C15" s="623"/>
      <c r="D15" s="623"/>
      <c r="E15" s="884" t="s">
        <v>432</v>
      </c>
      <c r="F15" s="885"/>
      <c r="G15" s="886"/>
      <c r="H15" s="886"/>
      <c r="I15" s="887">
        <f t="shared" ref="I15:O15" si="5">SUMIF($D17:$D187,"S",I17:I187)</f>
        <v>135</v>
      </c>
      <c r="J15" s="888">
        <f t="shared" si="5"/>
        <v>90</v>
      </c>
      <c r="K15" s="888">
        <f t="shared" si="5"/>
        <v>230</v>
      </c>
      <c r="L15" s="888">
        <f t="shared" si="5"/>
        <v>990</v>
      </c>
      <c r="M15" s="888">
        <f t="shared" si="5"/>
        <v>1010</v>
      </c>
      <c r="N15" s="889">
        <f t="shared" si="5"/>
        <v>560</v>
      </c>
      <c r="O15" s="900">
        <f t="shared" si="5"/>
        <v>710</v>
      </c>
      <c r="P15" s="1059"/>
      <c r="Q15" s="874"/>
      <c r="R15" s="143"/>
      <c r="S15" s="144"/>
      <c r="T15" s="144"/>
      <c r="U15" s="144"/>
      <c r="V15" s="879"/>
      <c r="W15" s="1067"/>
      <c r="X15" s="335"/>
      <c r="Y15" s="891"/>
      <c r="Z15" s="336"/>
      <c r="AA15" s="336"/>
      <c r="AB15" s="336"/>
      <c r="AC15" s="336"/>
      <c r="AD15" s="896"/>
      <c r="AE15" s="884"/>
    </row>
    <row r="16" spans="1:31" s="259" customFormat="1">
      <c r="A16" s="1056"/>
      <c r="B16" s="234"/>
      <c r="C16" s="623"/>
      <c r="D16" s="623"/>
      <c r="E16" s="140"/>
      <c r="F16" s="141"/>
      <c r="G16" s="142"/>
      <c r="H16" s="142"/>
      <c r="I16" s="874"/>
      <c r="J16" s="143"/>
      <c r="K16" s="144"/>
      <c r="L16" s="144"/>
      <c r="M16" s="144"/>
      <c r="N16" s="879"/>
      <c r="O16" s="879"/>
      <c r="P16" s="1059"/>
      <c r="Q16" s="874"/>
      <c r="R16" s="143"/>
      <c r="S16" s="144"/>
      <c r="T16" s="144"/>
      <c r="U16" s="144"/>
      <c r="V16" s="879"/>
      <c r="W16" s="1067"/>
      <c r="X16" s="335"/>
      <c r="Y16" s="891"/>
      <c r="Z16" s="336"/>
      <c r="AA16" s="336"/>
      <c r="AB16" s="336"/>
      <c r="AC16" s="336"/>
      <c r="AD16" s="896"/>
      <c r="AE16" s="884"/>
    </row>
    <row r="17" spans="1:35" s="259" customFormat="1">
      <c r="A17" s="1056"/>
      <c r="B17" s="236"/>
      <c r="C17" s="623"/>
      <c r="D17" s="623"/>
      <c r="E17" s="233" t="str">
        <f>TEXT('F0a Konfiguration'!C11,0)&amp;" "&amp;TEXT('F0a Konfiguration'!E11,0)</f>
        <v>AB1 Politik und Verwaltung</v>
      </c>
      <c r="F17" s="145">
        <f>SUM(I17:N17)</f>
        <v>250</v>
      </c>
      <c r="G17" s="146"/>
      <c r="H17" s="146"/>
      <c r="I17" s="877">
        <f t="shared" ref="I17:O17" si="6">SUM(I20:I25)</f>
        <v>120</v>
      </c>
      <c r="J17" s="147">
        <f t="shared" si="6"/>
        <v>50</v>
      </c>
      <c r="K17" s="147">
        <f t="shared" si="6"/>
        <v>0</v>
      </c>
      <c r="L17" s="147">
        <f t="shared" si="6"/>
        <v>80</v>
      </c>
      <c r="M17" s="147">
        <f t="shared" si="6"/>
        <v>0</v>
      </c>
      <c r="N17" s="882">
        <f t="shared" si="6"/>
        <v>0</v>
      </c>
      <c r="O17" s="882">
        <f t="shared" si="6"/>
        <v>250</v>
      </c>
      <c r="P17" s="1061"/>
      <c r="Q17" s="877">
        <f>SUM(Q18:Q25)</f>
        <v>114</v>
      </c>
      <c r="R17" s="147">
        <f>SUM(R18:R25)</f>
        <v>104</v>
      </c>
      <c r="S17" s="147">
        <f>SUM(S18:S25)</f>
        <v>90</v>
      </c>
      <c r="T17" s="147">
        <f t="shared" ref="T17:U17" si="7">SUM(T18:T25)</f>
        <v>91.25</v>
      </c>
      <c r="U17" s="147">
        <f t="shared" si="7"/>
        <v>93.25</v>
      </c>
      <c r="V17" s="882">
        <f>SUM(V18:V25)</f>
        <v>103.25</v>
      </c>
      <c r="W17" s="1067"/>
      <c r="X17" s="337">
        <f>'F1a Ausgangsbilanz'!I80</f>
        <v>1272</v>
      </c>
      <c r="Y17" s="895">
        <f>X17+I17-Q17</f>
        <v>1278</v>
      </c>
      <c r="Z17" s="338">
        <f>Y17+J17-R17</f>
        <v>1224</v>
      </c>
      <c r="AA17" s="338">
        <f t="shared" ref="AA17:AD17" si="8">Z17+K17-S17</f>
        <v>1134</v>
      </c>
      <c r="AB17" s="338">
        <f>AA17+L17-T17</f>
        <v>1122.75</v>
      </c>
      <c r="AC17" s="338">
        <f t="shared" si="8"/>
        <v>1029.5</v>
      </c>
      <c r="AD17" s="899">
        <f t="shared" si="8"/>
        <v>926.25</v>
      </c>
      <c r="AE17" s="884" t="s">
        <v>215</v>
      </c>
      <c r="AF17" s="140"/>
      <c r="AG17" s="140"/>
      <c r="AH17" s="140"/>
      <c r="AI17" s="140"/>
    </row>
    <row r="18" spans="1:35" s="259" customFormat="1" outlineLevel="1">
      <c r="A18" s="1056"/>
      <c r="B18" s="234"/>
      <c r="C18" s="623"/>
      <c r="D18" s="623"/>
      <c r="E18" s="205" t="str">
        <f>"Fortschreibung Abschreibungen aus Budget "&amp;TEXT(Budget2,0)</f>
        <v>Fortschreibung Abschreibungen aus Budget 2022</v>
      </c>
      <c r="F18" s="145"/>
      <c r="G18" s="146"/>
      <c r="H18" s="146"/>
      <c r="I18" s="877"/>
      <c r="J18" s="147"/>
      <c r="K18" s="147"/>
      <c r="L18" s="147"/>
      <c r="M18" s="147"/>
      <c r="N18" s="882"/>
      <c r="O18" s="882"/>
      <c r="P18" s="1059"/>
      <c r="Q18" s="891">
        <f>'F1c Budget Neu'!I14</f>
        <v>114</v>
      </c>
      <c r="R18" s="1281">
        <f>Q18</f>
        <v>114</v>
      </c>
      <c r="S18" s="1281">
        <f>R18</f>
        <v>114</v>
      </c>
      <c r="T18" s="1281">
        <f>S18</f>
        <v>114</v>
      </c>
      <c r="U18" s="1281">
        <f>T18</f>
        <v>114</v>
      </c>
      <c r="V18" s="1282">
        <f>U18</f>
        <v>114</v>
      </c>
      <c r="W18" s="1067"/>
      <c r="X18" s="335"/>
      <c r="Y18" s="891"/>
      <c r="Z18" s="336"/>
      <c r="AA18" s="336"/>
      <c r="AB18" s="336"/>
      <c r="AC18" s="336"/>
      <c r="AD18" s="896"/>
      <c r="AE18" s="884" t="s">
        <v>216</v>
      </c>
    </row>
    <row r="19" spans="1:35" s="259" customFormat="1" ht="22.5" outlineLevel="1">
      <c r="A19" s="1056"/>
      <c r="B19" s="234"/>
      <c r="C19" s="623"/>
      <c r="D19" s="623"/>
      <c r="E19" s="205" t="str">
        <f>"Wegfallende (-) / Zusätzl. (+) Abschr. geg. Budget "&amp;TEXT(Budget2,0)</f>
        <v>Wegfallende (-) / Zusätzl. (+) Abschr. geg. Budget 2022</v>
      </c>
      <c r="F19" s="145"/>
      <c r="G19" s="146"/>
      <c r="H19" s="146"/>
      <c r="I19" s="877"/>
      <c r="J19" s="147"/>
      <c r="K19" s="147"/>
      <c r="L19" s="147"/>
      <c r="M19" s="147"/>
      <c r="N19" s="882"/>
      <c r="O19" s="882"/>
      <c r="P19" s="1059"/>
      <c r="Q19" s="891"/>
      <c r="R19" s="1048">
        <v>-10</v>
      </c>
      <c r="S19" s="1048">
        <v>-36</v>
      </c>
      <c r="T19" s="1048">
        <v>-36</v>
      </c>
      <c r="U19" s="1048">
        <v>-36</v>
      </c>
      <c r="V19" s="1049">
        <v>-26</v>
      </c>
      <c r="W19" s="1067"/>
      <c r="X19" s="335"/>
      <c r="Y19" s="891"/>
      <c r="Z19" s="336"/>
      <c r="AA19" s="336"/>
      <c r="AB19" s="336"/>
      <c r="AC19" s="336"/>
      <c r="AD19" s="896"/>
      <c r="AE19" s="884" t="s">
        <v>216</v>
      </c>
    </row>
    <row r="20" spans="1:35" s="140" customFormat="1" ht="11.25" customHeight="1" outlineLevel="1">
      <c r="A20" s="1057" t="str">
        <f>IF(AND(SUM(I20:O20)&lt;&gt;0,B20=""),"GB??","")</f>
        <v/>
      </c>
      <c r="B20" s="1032" t="s">
        <v>379</v>
      </c>
      <c r="C20" s="1033">
        <v>50</v>
      </c>
      <c r="D20" s="1033"/>
      <c r="E20" s="1034" t="s">
        <v>429</v>
      </c>
      <c r="F20" s="159">
        <f t="shared" ref="F20:F25" si="9">SUM(I20:N20)</f>
        <v>160</v>
      </c>
      <c r="G20" s="1036">
        <v>40</v>
      </c>
      <c r="H20" s="1036">
        <v>2023</v>
      </c>
      <c r="I20" s="1037">
        <v>80</v>
      </c>
      <c r="J20" s="1038"/>
      <c r="K20" s="1039"/>
      <c r="L20" s="1039">
        <v>80</v>
      </c>
      <c r="M20" s="1040"/>
      <c r="N20" s="1041"/>
      <c r="O20" s="1042"/>
      <c r="P20" s="1057" t="str">
        <f>IF(SUM(I20:O20)&lt;&gt;0,IF(ISBLANK(G20),"ND??",""),"")</f>
        <v/>
      </c>
      <c r="Q20" s="890"/>
      <c r="R20" s="616">
        <f>IF(OR($H20&gt;I$9,I20=0),0,IF(AND(OR($H20=0,$H20=I$9),$G20&gt;0),I20/$G20,0))</f>
        <v>0</v>
      </c>
      <c r="S20" s="616">
        <f>IF(AND($H20&lt;J$9,$H20&gt;0),R20+J20/$G20,IF($H20=J$9,SUM(I20:J20)/$G20,IF(AND($G20&gt;0,$H20=0),R20+J20/$G20,0)))</f>
        <v>2</v>
      </c>
      <c r="T20" s="616">
        <f>IF(AND($H20&lt;K$9,$H20&gt;0),S20+K20/$G20,IF($H20=K$9,SUM(I20:K20)/$G20,IF(AND($G20&gt;0,$H20=0),S20+K20/$G20,0)))</f>
        <v>2</v>
      </c>
      <c r="U20" s="616">
        <f>IF(AND($H20&lt;L$9,$H20&gt;0),T20+L20/$G20,IF($H20=L$9,SUM(I20:L20)/$G20,IF(AND($G20&gt;0,$H20=0),T20+L20/$G20,0)))</f>
        <v>4</v>
      </c>
      <c r="V20" s="892">
        <f>IF(AND($H20&lt;M$9,$H20&gt;0),U20+M20/$G20,IF($H20=M$9,SUM(I20:M20)/$G20,IF(AND($G20&gt;0,$H20=0),U20+M20/$G20-IF(G20=4,R20,0),0)))</f>
        <v>4</v>
      </c>
      <c r="W20" s="1057" t="str">
        <f>IF(G20=0,"",IF(AND($H20&lt;&gt;$N$9,SUM(I20:M20)/G20&gt;V20,G20&lt;&gt;4),"Jahr?",""))</f>
        <v/>
      </c>
      <c r="X20" s="335"/>
      <c r="Y20" s="891"/>
      <c r="Z20" s="336"/>
      <c r="AA20" s="336"/>
      <c r="AB20" s="336"/>
      <c r="AC20" s="336"/>
      <c r="AD20" s="896"/>
      <c r="AE20" s="884"/>
    </row>
    <row r="21" spans="1:35" s="140" customFormat="1" ht="11.25" customHeight="1" outlineLevel="1">
      <c r="A21" s="1057" t="str">
        <f t="shared" ref="A21:A25" si="10">IF(AND(SUM(I21:O21)&lt;&gt;0,B21=""),"GB??","")</f>
        <v/>
      </c>
      <c r="B21" s="1032" t="s">
        <v>379</v>
      </c>
      <c r="C21" s="1033">
        <v>50</v>
      </c>
      <c r="D21" s="1033"/>
      <c r="E21" s="1034" t="s">
        <v>395</v>
      </c>
      <c r="F21" s="160">
        <f t="shared" si="9"/>
        <v>50</v>
      </c>
      <c r="G21" s="1036">
        <v>40</v>
      </c>
      <c r="H21" s="1036">
        <v>2024</v>
      </c>
      <c r="I21" s="1043"/>
      <c r="J21" s="1044">
        <v>50</v>
      </c>
      <c r="K21" s="1045"/>
      <c r="L21" s="1045"/>
      <c r="M21" s="1045"/>
      <c r="N21" s="1046"/>
      <c r="O21" s="1047"/>
      <c r="P21" s="1057" t="str">
        <f t="shared" ref="P21:P25" si="11">IF(SUM(I21:O21)&lt;&gt;0,IF(ISBLANK(G21),"ND??",""),"")</f>
        <v/>
      </c>
      <c r="Q21" s="891"/>
      <c r="R21" s="616">
        <f t="shared" ref="R21:R25" si="12">IF(OR($H21&gt;I$9,I21=0),0,IF(AND(OR($H21=0,$H21=I$9),$G21&gt;0),I21/$G21,0))</f>
        <v>0</v>
      </c>
      <c r="S21" s="616">
        <f t="shared" ref="S21:S25" si="13">IF(AND($H21&lt;J$9,$H21&gt;0),R21+J21/$G21,IF($H21=J$9,SUM(I21:J21)/$G21,IF(AND($G21&gt;0,$H21=0),R21+J21/$G21,0)))</f>
        <v>0</v>
      </c>
      <c r="T21" s="616">
        <f t="shared" ref="T21:T25" si="14">IF(AND($H21&lt;K$9,$H21&gt;0),S21+K21/$G21,IF($H21=K$9,SUM(I21:K21)/$G21,IF(AND($G21&gt;0,$H21=0),S21+K21/$G21,0)))</f>
        <v>1.25</v>
      </c>
      <c r="U21" s="616">
        <f t="shared" ref="U21:U25" si="15">IF(AND($H21&lt;L$9,$H21&gt;0),T21+L21/$G21,IF($H21=L$9,SUM(I21:L21)/$G21,IF(AND($G21&gt;0,$H21=0),T21+L21/$G21,0)))</f>
        <v>1.25</v>
      </c>
      <c r="V21" s="892">
        <f t="shared" ref="V21:V25" si="16">IF(AND($H21&lt;M$9,$H21&gt;0),U21+M21/$G21,IF($H21=M$9,SUM(I21:M21)/$G21,IF(AND($G21&gt;0,$H21=0),U21+M21/$G21-IF(G21=4,R21,0),0)))</f>
        <v>1.25</v>
      </c>
      <c r="W21" s="1057" t="str">
        <f t="shared" ref="W21:W25" si="17">IF(G21=0,"",IF(AND($H21&lt;&gt;$N$9,SUM(I21:M21)/G21&gt;V21,G21&lt;&gt;4),"Jahr?",""))</f>
        <v/>
      </c>
      <c r="X21" s="335"/>
      <c r="Y21" s="891"/>
      <c r="Z21" s="336"/>
      <c r="AA21" s="336"/>
      <c r="AB21" s="336"/>
      <c r="AC21" s="336"/>
      <c r="AD21" s="896"/>
      <c r="AE21" s="884"/>
    </row>
    <row r="22" spans="1:35" s="140" customFormat="1" outlineLevel="1">
      <c r="A22" s="1057" t="str">
        <f t="shared" si="10"/>
        <v/>
      </c>
      <c r="B22" s="1032" t="s">
        <v>379</v>
      </c>
      <c r="C22" s="1033">
        <v>50</v>
      </c>
      <c r="D22" s="1033"/>
      <c r="E22" s="1034" t="s">
        <v>396</v>
      </c>
      <c r="F22" s="160">
        <f t="shared" si="9"/>
        <v>0</v>
      </c>
      <c r="G22" s="1036">
        <v>40</v>
      </c>
      <c r="H22" s="1036"/>
      <c r="I22" s="1043"/>
      <c r="J22" s="1044"/>
      <c r="K22" s="1045"/>
      <c r="L22" s="1045"/>
      <c r="M22" s="1045"/>
      <c r="N22" s="1046"/>
      <c r="O22" s="1047">
        <v>250</v>
      </c>
      <c r="P22" s="1057" t="str">
        <f t="shared" si="11"/>
        <v/>
      </c>
      <c r="Q22" s="891"/>
      <c r="R22" s="616">
        <f t="shared" si="12"/>
        <v>0</v>
      </c>
      <c r="S22" s="616">
        <f t="shared" si="13"/>
        <v>0</v>
      </c>
      <c r="T22" s="616">
        <f t="shared" si="14"/>
        <v>0</v>
      </c>
      <c r="U22" s="616">
        <f t="shared" si="15"/>
        <v>0</v>
      </c>
      <c r="V22" s="892">
        <f t="shared" si="16"/>
        <v>0</v>
      </c>
      <c r="W22" s="1057" t="str">
        <f t="shared" si="17"/>
        <v/>
      </c>
      <c r="X22" s="335"/>
      <c r="Y22" s="891"/>
      <c r="Z22" s="336"/>
      <c r="AA22" s="336"/>
      <c r="AB22" s="336"/>
      <c r="AC22" s="336"/>
      <c r="AD22" s="896"/>
      <c r="AE22" s="884"/>
    </row>
    <row r="23" spans="1:35" s="140" customFormat="1" outlineLevel="1">
      <c r="A23" s="1057" t="str">
        <f t="shared" si="10"/>
        <v/>
      </c>
      <c r="B23" s="1032" t="s">
        <v>379</v>
      </c>
      <c r="C23" s="1033">
        <v>50</v>
      </c>
      <c r="D23" s="1033"/>
      <c r="E23" s="1034" t="s">
        <v>434</v>
      </c>
      <c r="F23" s="160">
        <f t="shared" si="9"/>
        <v>40</v>
      </c>
      <c r="G23" s="1036">
        <v>4</v>
      </c>
      <c r="H23" s="1036">
        <v>2023</v>
      </c>
      <c r="I23" s="1043">
        <v>40</v>
      </c>
      <c r="J23" s="1044"/>
      <c r="K23" s="1045"/>
      <c r="L23" s="1045"/>
      <c r="M23" s="1045"/>
      <c r="N23" s="1046"/>
      <c r="O23" s="1047"/>
      <c r="P23" s="1057" t="str">
        <f t="shared" si="11"/>
        <v/>
      </c>
      <c r="Q23" s="891"/>
      <c r="R23" s="616">
        <f t="shared" si="12"/>
        <v>0</v>
      </c>
      <c r="S23" s="616">
        <f t="shared" si="13"/>
        <v>10</v>
      </c>
      <c r="T23" s="616">
        <f t="shared" si="14"/>
        <v>10</v>
      </c>
      <c r="U23" s="616">
        <f t="shared" si="15"/>
        <v>10</v>
      </c>
      <c r="V23" s="892">
        <f t="shared" si="16"/>
        <v>10</v>
      </c>
      <c r="W23" s="1057" t="str">
        <f t="shared" si="17"/>
        <v/>
      </c>
      <c r="X23" s="335"/>
      <c r="Y23" s="891"/>
      <c r="Z23" s="336"/>
      <c r="AA23" s="336"/>
      <c r="AB23" s="336"/>
      <c r="AC23" s="336"/>
      <c r="AD23" s="896"/>
      <c r="AE23" s="884"/>
    </row>
    <row r="24" spans="1:35" s="140" customFormat="1" outlineLevel="1">
      <c r="A24" s="1057" t="str">
        <f t="shared" si="10"/>
        <v/>
      </c>
      <c r="B24" s="1032"/>
      <c r="C24" s="1033"/>
      <c r="D24" s="1033"/>
      <c r="E24" s="1034"/>
      <c r="F24" s="160">
        <f t="shared" si="9"/>
        <v>0</v>
      </c>
      <c r="G24" s="1036"/>
      <c r="H24" s="1036"/>
      <c r="I24" s="1043"/>
      <c r="J24" s="1044"/>
      <c r="K24" s="1045"/>
      <c r="L24" s="1045"/>
      <c r="M24" s="1045"/>
      <c r="N24" s="1046"/>
      <c r="O24" s="1047"/>
      <c r="P24" s="1057" t="str">
        <f t="shared" si="11"/>
        <v/>
      </c>
      <c r="Q24" s="891"/>
      <c r="R24" s="616">
        <f t="shared" si="12"/>
        <v>0</v>
      </c>
      <c r="S24" s="616">
        <f t="shared" si="13"/>
        <v>0</v>
      </c>
      <c r="T24" s="616">
        <f t="shared" si="14"/>
        <v>0</v>
      </c>
      <c r="U24" s="616">
        <f t="shared" si="15"/>
        <v>0</v>
      </c>
      <c r="V24" s="892">
        <f t="shared" si="16"/>
        <v>0</v>
      </c>
      <c r="W24" s="1057" t="str">
        <f t="shared" si="17"/>
        <v/>
      </c>
      <c r="X24" s="335"/>
      <c r="Y24" s="891"/>
      <c r="Z24" s="336"/>
      <c r="AA24" s="336"/>
      <c r="AB24" s="336"/>
      <c r="AC24" s="336"/>
      <c r="AD24" s="896"/>
      <c r="AE24" s="884"/>
    </row>
    <row r="25" spans="1:35" s="140" customFormat="1" outlineLevel="1">
      <c r="A25" s="1057" t="str">
        <f t="shared" si="10"/>
        <v/>
      </c>
      <c r="B25" s="1032"/>
      <c r="C25" s="1033"/>
      <c r="D25" s="1033"/>
      <c r="E25" s="1034"/>
      <c r="F25" s="160">
        <f t="shared" si="9"/>
        <v>0</v>
      </c>
      <c r="G25" s="1036"/>
      <c r="H25" s="1036"/>
      <c r="I25" s="1043"/>
      <c r="J25" s="1044"/>
      <c r="K25" s="1045"/>
      <c r="L25" s="1045"/>
      <c r="M25" s="1045"/>
      <c r="N25" s="1046"/>
      <c r="O25" s="1047"/>
      <c r="P25" s="1057" t="str">
        <f t="shared" si="11"/>
        <v/>
      </c>
      <c r="Q25" s="891"/>
      <c r="R25" s="616">
        <f t="shared" si="12"/>
        <v>0</v>
      </c>
      <c r="S25" s="616">
        <f t="shared" si="13"/>
        <v>0</v>
      </c>
      <c r="T25" s="616">
        <f t="shared" si="14"/>
        <v>0</v>
      </c>
      <c r="U25" s="616">
        <f t="shared" si="15"/>
        <v>0</v>
      </c>
      <c r="V25" s="892">
        <f t="shared" si="16"/>
        <v>0</v>
      </c>
      <c r="W25" s="1057" t="str">
        <f t="shared" si="17"/>
        <v/>
      </c>
      <c r="X25" s="335"/>
      <c r="Y25" s="891"/>
      <c r="Z25" s="336"/>
      <c r="AA25" s="336"/>
      <c r="AB25" s="336"/>
      <c r="AC25" s="336"/>
      <c r="AD25" s="896"/>
      <c r="AE25" s="884"/>
    </row>
    <row r="26" spans="1:35" s="140" customFormat="1">
      <c r="A26" s="1053"/>
      <c r="B26" s="235"/>
      <c r="C26" s="622"/>
      <c r="D26" s="622"/>
      <c r="F26" s="141"/>
      <c r="G26" s="142"/>
      <c r="H26" s="142"/>
      <c r="I26" s="874"/>
      <c r="J26" s="143"/>
      <c r="K26" s="144"/>
      <c r="L26" s="144"/>
      <c r="M26" s="144"/>
      <c r="N26" s="879"/>
      <c r="O26" s="879"/>
      <c r="P26" s="1059"/>
      <c r="Q26" s="874"/>
      <c r="R26" s="143"/>
      <c r="S26" s="144"/>
      <c r="T26" s="144"/>
      <c r="U26" s="144"/>
      <c r="V26" s="879"/>
      <c r="W26" s="1064"/>
      <c r="X26" s="335"/>
      <c r="Y26" s="891"/>
      <c r="Z26" s="336"/>
      <c r="AA26" s="336"/>
      <c r="AB26" s="336"/>
      <c r="AC26" s="336"/>
      <c r="AD26" s="896"/>
      <c r="AE26" s="884"/>
    </row>
    <row r="27" spans="1:35" s="259" customFormat="1">
      <c r="A27" s="1056"/>
      <c r="B27" s="236"/>
      <c r="C27" s="623"/>
      <c r="D27" s="623"/>
      <c r="E27" s="233" t="str">
        <f>TEXT('F0a Konfiguration'!C12,0)&amp;" "&amp;TEXT('F0a Konfiguration'!E12,0)</f>
        <v>AB2 Bildung</v>
      </c>
      <c r="F27" s="145">
        <f>SUM(I27:N27)</f>
        <v>2760</v>
      </c>
      <c r="G27" s="146"/>
      <c r="H27" s="146"/>
      <c r="I27" s="877">
        <f t="shared" ref="I27:O27" si="18">SUM(I30:I36)</f>
        <v>370</v>
      </c>
      <c r="J27" s="147">
        <f t="shared" si="18"/>
        <v>700</v>
      </c>
      <c r="K27" s="147">
        <f t="shared" si="18"/>
        <v>610</v>
      </c>
      <c r="L27" s="147">
        <f t="shared" si="18"/>
        <v>630</v>
      </c>
      <c r="M27" s="147">
        <f t="shared" ref="M27" si="19">SUM(M30:M36)</f>
        <v>120</v>
      </c>
      <c r="N27" s="882">
        <f t="shared" si="18"/>
        <v>330</v>
      </c>
      <c r="O27" s="882">
        <f t="shared" si="18"/>
        <v>0</v>
      </c>
      <c r="P27" s="1061"/>
      <c r="Q27" s="877">
        <f t="shared" ref="Q27:V27" si="20">SUM(Q28:Q36)</f>
        <v>454</v>
      </c>
      <c r="R27" s="147">
        <f>SUM(R28:R36)</f>
        <v>449</v>
      </c>
      <c r="S27" s="147">
        <f>SUM(S28:S36)</f>
        <v>467.125</v>
      </c>
      <c r="T27" s="147">
        <f t="shared" si="20"/>
        <v>491</v>
      </c>
      <c r="U27" s="147">
        <f t="shared" si="20"/>
        <v>501.75</v>
      </c>
      <c r="V27" s="882">
        <f t="shared" si="20"/>
        <v>436.75</v>
      </c>
      <c r="W27" s="1067"/>
      <c r="X27" s="337">
        <f>'F1a Ausgangsbilanz'!J80</f>
        <v>8621</v>
      </c>
      <c r="Y27" s="895">
        <f>X27+I27-Q27</f>
        <v>8537</v>
      </c>
      <c r="Z27" s="338">
        <f>Y27+J27-R27</f>
        <v>8788</v>
      </c>
      <c r="AA27" s="338">
        <f t="shared" ref="AA27" si="21">Z27+K27-S27</f>
        <v>8930.875</v>
      </c>
      <c r="AB27" s="338">
        <f t="shared" ref="AB27" si="22">AA27+L27-T27</f>
        <v>9069.875</v>
      </c>
      <c r="AC27" s="338">
        <f t="shared" ref="AC27" si="23">AB27+M27-U27</f>
        <v>8688.125</v>
      </c>
      <c r="AD27" s="899">
        <f t="shared" ref="AD27" si="24">AC27+N27-V27</f>
        <v>8581.375</v>
      </c>
      <c r="AE27" s="884" t="s">
        <v>215</v>
      </c>
      <c r="AF27" s="140"/>
      <c r="AG27" s="140"/>
      <c r="AH27" s="140"/>
      <c r="AI27" s="140"/>
    </row>
    <row r="28" spans="1:35" s="259" customFormat="1" outlineLevel="1">
      <c r="A28" s="1056"/>
      <c r="B28" s="234"/>
      <c r="C28" s="623"/>
      <c r="D28" s="623"/>
      <c r="E28" s="205" t="str">
        <f>"Fortschreibung Abschreibungen aus Budget "&amp;TEXT(Budget2,0)</f>
        <v>Fortschreibung Abschreibungen aus Budget 2022</v>
      </c>
      <c r="F28" s="145"/>
      <c r="G28" s="146"/>
      <c r="H28" s="146"/>
      <c r="I28" s="877"/>
      <c r="J28" s="147"/>
      <c r="K28" s="147"/>
      <c r="L28" s="147"/>
      <c r="M28" s="147"/>
      <c r="N28" s="882"/>
      <c r="O28" s="882"/>
      <c r="P28" s="1059"/>
      <c r="Q28" s="891">
        <f>'F1c Budget Neu'!J14</f>
        <v>454</v>
      </c>
      <c r="R28" s="1281">
        <f>Q28</f>
        <v>454</v>
      </c>
      <c r="S28" s="1281">
        <f>R28</f>
        <v>454</v>
      </c>
      <c r="T28" s="1281">
        <f>S28</f>
        <v>454</v>
      </c>
      <c r="U28" s="1281">
        <f>T28</f>
        <v>454</v>
      </c>
      <c r="V28" s="1282">
        <f>U28</f>
        <v>454</v>
      </c>
      <c r="W28" s="1067"/>
      <c r="X28" s="335"/>
      <c r="Y28" s="891"/>
      <c r="Z28" s="336"/>
      <c r="AA28" s="336"/>
      <c r="AB28" s="336"/>
      <c r="AC28" s="336"/>
      <c r="AD28" s="896"/>
      <c r="AE28" s="884" t="s">
        <v>216</v>
      </c>
      <c r="AF28" s="140"/>
      <c r="AG28" s="140"/>
      <c r="AH28" s="140"/>
      <c r="AI28" s="140"/>
    </row>
    <row r="29" spans="1:35" s="259" customFormat="1" ht="22.5" outlineLevel="1">
      <c r="A29" s="1056"/>
      <c r="B29" s="234"/>
      <c r="C29" s="623"/>
      <c r="D29" s="623"/>
      <c r="E29" s="205" t="str">
        <f>"Wegfallende (-) / Zusätzl. (+) Abschr. geg. Budget "&amp;TEXT(Budget2,0)</f>
        <v>Wegfallende (-) / Zusätzl. (+) Abschr. geg. Budget 2022</v>
      </c>
      <c r="F29" s="145"/>
      <c r="G29" s="146"/>
      <c r="H29" s="146"/>
      <c r="I29" s="877"/>
      <c r="J29" s="147"/>
      <c r="K29" s="147"/>
      <c r="L29" s="147"/>
      <c r="M29" s="147"/>
      <c r="N29" s="882"/>
      <c r="O29" s="882"/>
      <c r="P29" s="1059"/>
      <c r="Q29" s="891"/>
      <c r="R29" s="1048">
        <v>-5</v>
      </c>
      <c r="S29" s="1048">
        <v>-5</v>
      </c>
      <c r="T29" s="1048">
        <v>-5</v>
      </c>
      <c r="U29" s="1048">
        <v>-10</v>
      </c>
      <c r="V29" s="1049">
        <v>-78</v>
      </c>
      <c r="W29" s="1067"/>
      <c r="X29" s="335"/>
      <c r="Y29" s="891"/>
      <c r="Z29" s="336"/>
      <c r="AA29" s="336"/>
      <c r="AB29" s="336"/>
      <c r="AC29" s="336"/>
      <c r="AD29" s="896"/>
      <c r="AE29" s="884" t="s">
        <v>216</v>
      </c>
    </row>
    <row r="30" spans="1:35" s="140" customFormat="1" outlineLevel="1">
      <c r="A30" s="1057" t="str">
        <f>IF(AND(SUM(I30:O30)&lt;&gt;0,B30=""),"GB??","")</f>
        <v/>
      </c>
      <c r="B30" s="1032" t="s">
        <v>381</v>
      </c>
      <c r="C30" s="1033">
        <v>50</v>
      </c>
      <c r="D30" s="1033"/>
      <c r="E30" s="1034" t="s">
        <v>397</v>
      </c>
      <c r="F30" s="159">
        <f t="shared" ref="F30:F36" si="25">SUM(I30:N30)</f>
        <v>375</v>
      </c>
      <c r="G30" s="1036">
        <v>40</v>
      </c>
      <c r="H30" s="1036">
        <v>2023</v>
      </c>
      <c r="I30" s="1037">
        <v>110</v>
      </c>
      <c r="J30" s="1038">
        <v>215</v>
      </c>
      <c r="K30" s="1039">
        <v>50</v>
      </c>
      <c r="L30" s="1039"/>
      <c r="M30" s="1039"/>
      <c r="N30" s="1041"/>
      <c r="O30" s="1042"/>
      <c r="P30" s="1057" t="str">
        <f>IF(SUM(I30:O30)&lt;&gt;0,IF(ISBLANK(G30),"ND??",""),"")</f>
        <v/>
      </c>
      <c r="Q30" s="890"/>
      <c r="R30" s="616">
        <f>IF(OR($H30&gt;I$9,I30=0),0,IF(AND(OR($H30=0,$H30=I$9),$G30&gt;0),I30/$G30,0))</f>
        <v>0</v>
      </c>
      <c r="S30" s="616">
        <f>IF(AND($H30&lt;J$9,$H30&gt;0),R30+J30/$G30,IF($H30=J$9,SUM(I30:J30)/$G30,IF(AND($G30&gt;0,$H30=0),R30+J30/$G30,0)))</f>
        <v>8.125</v>
      </c>
      <c r="T30" s="616">
        <f>IF(AND($H30&lt;K$9,$H30&gt;0),S30+K30/$G30,IF($H30=K$9,SUM(I30:K30)/$G30,IF(AND($G30&gt;0,$H30=0),S30+K30/$G30,0)))</f>
        <v>9.375</v>
      </c>
      <c r="U30" s="616">
        <f>IF(AND($H30&lt;L$9,$H30&gt;0),T30+L30/$G30,IF($H30=L$9,SUM(I30:L30)/$G30,IF(AND($G30&gt;0,$H30=0),T30+L30/$G30,0)))</f>
        <v>9.375</v>
      </c>
      <c r="V30" s="892">
        <f>IF(AND($H30&lt;M$9,$H30&gt;0),U30+M30/$G30,IF($H30=M$9,SUM(I30:M30)/$G30,IF(AND($G30&gt;0,$H30=0),U30+M30/$G30-IF(G30=4,R30,0),0)))</f>
        <v>9.375</v>
      </c>
      <c r="W30" s="1057" t="str">
        <f>IF(G30=0,"",IF(AND($H30&lt;&gt;$N$9,SUM(I30:M30)/G30&gt;V30,G30&lt;&gt;4),"Jahr?",""))</f>
        <v/>
      </c>
      <c r="X30" s="335"/>
      <c r="Y30" s="891"/>
      <c r="Z30" s="336"/>
      <c r="AA30" s="336"/>
      <c r="AB30" s="336"/>
      <c r="AC30" s="336"/>
      <c r="AD30" s="896"/>
      <c r="AE30" s="884"/>
    </row>
    <row r="31" spans="1:35" s="140" customFormat="1" ht="12.75" customHeight="1" outlineLevel="1">
      <c r="A31" s="1057" t="str">
        <f t="shared" ref="A31:A36" si="26">IF(AND(SUM(I31:O31)&lt;&gt;0,B31=""),"GB??","")</f>
        <v/>
      </c>
      <c r="B31" s="1032" t="s">
        <v>381</v>
      </c>
      <c r="C31" s="1033">
        <v>50</v>
      </c>
      <c r="D31" s="1033"/>
      <c r="E31" s="1034" t="s">
        <v>399</v>
      </c>
      <c r="F31" s="160">
        <f t="shared" si="25"/>
        <v>290</v>
      </c>
      <c r="G31" s="1036">
        <v>40</v>
      </c>
      <c r="H31" s="1036">
        <v>2024</v>
      </c>
      <c r="I31" s="1043"/>
      <c r="J31" s="1044">
        <v>90</v>
      </c>
      <c r="K31" s="1045">
        <v>120</v>
      </c>
      <c r="L31" s="1045"/>
      <c r="M31" s="1045"/>
      <c r="N31" s="1046">
        <v>80</v>
      </c>
      <c r="O31" s="1047"/>
      <c r="P31" s="1057" t="str">
        <f t="shared" ref="P31:P36" si="27">IF(SUM(I31:O31)&lt;&gt;0,IF(ISBLANK(G31),"ND??",""),"")</f>
        <v/>
      </c>
      <c r="Q31" s="891"/>
      <c r="R31" s="616">
        <f t="shared" ref="R31:R36" si="28">IF(OR($H31&gt;I$9,I31=0),0,IF(AND(OR($H31=0,$H31=I$9),$G31&gt;0),I31/$G31,0))</f>
        <v>0</v>
      </c>
      <c r="S31" s="616">
        <f t="shared" ref="S31:S36" si="29">IF(AND($H31&lt;J$9,$H31&gt;0),R31+J31/$G31,IF($H31=J$9,SUM(I31:J31)/$G31,IF(AND($G31&gt;0,$H31=0),R31+J31/$G31,0)))</f>
        <v>0</v>
      </c>
      <c r="T31" s="616">
        <f t="shared" ref="T31:T36" si="30">IF(AND($H31&lt;K$9,$H31&gt;0),S31+K31/$G31,IF($H31=K$9,SUM(I31:K31)/$G31,IF(AND($G31&gt;0,$H31=0),S31+K31/$G31,0)))</f>
        <v>5.25</v>
      </c>
      <c r="U31" s="616">
        <f t="shared" ref="U31:U36" si="31">IF(AND($H31&lt;L$9,$H31&gt;0),T31+L31/$G31,IF($H31=L$9,SUM(I31:L31)/$G31,IF(AND($G31&gt;0,$H31=0),T31+L31/$G31,0)))</f>
        <v>5.25</v>
      </c>
      <c r="V31" s="892">
        <f t="shared" ref="V31:V36" si="32">IF(AND($H31&lt;M$9,$H31&gt;0),U31+M31/$G31,IF($H31=M$9,SUM(I31:M31)/$G31,IF(AND($G31&gt;0,$H31=0),U31+M31/$G31-IF(G31=4,R31,0),0)))</f>
        <v>5.25</v>
      </c>
      <c r="W31" s="1057" t="str">
        <f t="shared" ref="W31:W36" si="33">IF(G31=0,"",IF(AND($H31&lt;&gt;$N$9,SUM(I31:M31)/G31&gt;V31,G31&lt;&gt;4),"Jahr?",""))</f>
        <v/>
      </c>
      <c r="X31" s="335"/>
      <c r="Y31" s="891"/>
      <c r="Z31" s="336"/>
      <c r="AA31" s="336"/>
      <c r="AB31" s="336"/>
      <c r="AC31" s="336"/>
      <c r="AD31" s="896"/>
      <c r="AE31" s="884"/>
    </row>
    <row r="32" spans="1:35" s="140" customFormat="1" ht="12.75" customHeight="1" outlineLevel="1">
      <c r="A32" s="1057" t="str">
        <f t="shared" si="26"/>
        <v/>
      </c>
      <c r="B32" s="1032" t="s">
        <v>381</v>
      </c>
      <c r="C32" s="1033">
        <v>50</v>
      </c>
      <c r="D32" s="1033"/>
      <c r="E32" s="1034" t="s">
        <v>398</v>
      </c>
      <c r="F32" s="160">
        <f t="shared" si="25"/>
        <v>305</v>
      </c>
      <c r="G32" s="1036">
        <v>40</v>
      </c>
      <c r="H32" s="1036">
        <v>2024</v>
      </c>
      <c r="I32" s="1043"/>
      <c r="J32" s="1044">
        <v>225</v>
      </c>
      <c r="K32" s="1045"/>
      <c r="L32" s="1045">
        <v>80</v>
      </c>
      <c r="M32" s="1045"/>
      <c r="N32" s="1046"/>
      <c r="O32" s="1047"/>
      <c r="P32" s="1057" t="str">
        <f t="shared" si="27"/>
        <v/>
      </c>
      <c r="Q32" s="891"/>
      <c r="R32" s="616">
        <f t="shared" si="28"/>
        <v>0</v>
      </c>
      <c r="S32" s="616">
        <f t="shared" si="29"/>
        <v>0</v>
      </c>
      <c r="T32" s="616">
        <f t="shared" si="30"/>
        <v>5.625</v>
      </c>
      <c r="U32" s="616">
        <f t="shared" si="31"/>
        <v>7.625</v>
      </c>
      <c r="V32" s="892">
        <f t="shared" si="32"/>
        <v>7.625</v>
      </c>
      <c r="W32" s="1057" t="str">
        <f t="shared" si="33"/>
        <v/>
      </c>
      <c r="X32" s="335"/>
      <c r="Y32" s="891"/>
      <c r="Z32" s="336"/>
      <c r="AA32" s="336"/>
      <c r="AB32" s="336"/>
      <c r="AC32" s="336"/>
      <c r="AD32" s="896"/>
      <c r="AE32" s="884"/>
    </row>
    <row r="33" spans="1:35" s="140" customFormat="1" ht="12.75" customHeight="1" outlineLevel="1">
      <c r="A33" s="1057" t="str">
        <f t="shared" si="26"/>
        <v/>
      </c>
      <c r="B33" s="1032" t="s">
        <v>381</v>
      </c>
      <c r="C33" s="1033">
        <v>50</v>
      </c>
      <c r="D33" s="1033"/>
      <c r="E33" s="1034" t="s">
        <v>400</v>
      </c>
      <c r="F33" s="160">
        <f t="shared" si="25"/>
        <v>450</v>
      </c>
      <c r="G33" s="1036">
        <v>40</v>
      </c>
      <c r="H33" s="1036">
        <v>2023</v>
      </c>
      <c r="I33" s="1043">
        <v>100</v>
      </c>
      <c r="J33" s="1044">
        <v>100</v>
      </c>
      <c r="K33" s="1045"/>
      <c r="L33" s="1045"/>
      <c r="M33" s="1045"/>
      <c r="N33" s="1046">
        <v>250</v>
      </c>
      <c r="O33" s="1047"/>
      <c r="P33" s="1057" t="str">
        <f t="shared" si="27"/>
        <v/>
      </c>
      <c r="Q33" s="891"/>
      <c r="R33" s="616">
        <f t="shared" si="28"/>
        <v>0</v>
      </c>
      <c r="S33" s="616">
        <f t="shared" si="29"/>
        <v>5</v>
      </c>
      <c r="T33" s="616">
        <f t="shared" si="30"/>
        <v>5</v>
      </c>
      <c r="U33" s="616">
        <f t="shared" si="31"/>
        <v>5</v>
      </c>
      <c r="V33" s="892">
        <f t="shared" si="32"/>
        <v>5</v>
      </c>
      <c r="W33" s="1057" t="str">
        <f t="shared" si="33"/>
        <v/>
      </c>
      <c r="X33" s="335"/>
      <c r="Y33" s="891"/>
      <c r="Z33" s="336"/>
      <c r="AA33" s="336"/>
      <c r="AB33" s="336"/>
      <c r="AC33" s="336"/>
      <c r="AD33" s="896"/>
      <c r="AE33" s="884"/>
    </row>
    <row r="34" spans="1:35" s="140" customFormat="1" ht="12.75" customHeight="1" outlineLevel="1">
      <c r="A34" s="1057"/>
      <c r="B34" s="1032" t="s">
        <v>381</v>
      </c>
      <c r="C34" s="1033">
        <v>50</v>
      </c>
      <c r="D34" s="1033"/>
      <c r="E34" s="1360" t="s">
        <v>401</v>
      </c>
      <c r="F34" s="160">
        <f t="shared" ref="F34" si="34">SUM(I34:N34)</f>
        <v>480</v>
      </c>
      <c r="G34" s="1036">
        <v>40</v>
      </c>
      <c r="H34" s="1036">
        <v>2024</v>
      </c>
      <c r="I34" s="1043"/>
      <c r="J34" s="1044">
        <v>30</v>
      </c>
      <c r="K34" s="1045">
        <v>200</v>
      </c>
      <c r="L34" s="1045">
        <v>250</v>
      </c>
      <c r="M34" s="1045"/>
      <c r="N34" s="1046"/>
      <c r="O34" s="1047"/>
      <c r="P34" s="1057" t="str">
        <f t="shared" ref="P34" si="35">IF(SUM(I34:O34)&lt;&gt;0,IF(ISBLANK(G34),"ND??",""),"")</f>
        <v/>
      </c>
      <c r="Q34" s="891"/>
      <c r="R34" s="616">
        <f t="shared" ref="R34" si="36">IF(OR($H34&gt;I$9,I34=0),0,IF(AND(OR($H34=0,$H34=I$9),$G34&gt;0),I34/$G34,0))</f>
        <v>0</v>
      </c>
      <c r="S34" s="616">
        <f t="shared" ref="S34" si="37">IF(AND($H34&lt;J$9,$H34&gt;0),R34+J34/$G34,IF($H34=J$9,SUM(I34:J34)/$G34,IF(AND($G34&gt;0,$H34=0),R34+J34/$G34,0)))</f>
        <v>0</v>
      </c>
      <c r="T34" s="616">
        <f t="shared" ref="T34" si="38">IF(AND($H34&lt;K$9,$H34&gt;0),S34+K34/$G34,IF($H34=K$9,SUM(I34:K34)/$G34,IF(AND($G34&gt;0,$H34=0),S34+K34/$G34,0)))</f>
        <v>5.75</v>
      </c>
      <c r="U34" s="616">
        <f t="shared" ref="U34" si="39">IF(AND($H34&lt;L$9,$H34&gt;0),T34+L34/$G34,IF($H34=L$9,SUM(I34:L34)/$G34,IF(AND($G34&gt;0,$H34=0),T34+L34/$G34,0)))</f>
        <v>12</v>
      </c>
      <c r="V34" s="892">
        <f t="shared" ref="V34" si="40">IF(AND($H34&lt;M$9,$H34&gt;0),U34+M34/$G34,IF($H34=M$9,SUM(I34:M34)/$G34,IF(AND($G34&gt;0,$H34=0),U34+M34/$G34-IF(G34=4,R34,0),0)))</f>
        <v>12</v>
      </c>
      <c r="W34" s="1057" t="str">
        <f t="shared" ref="W34" si="41">IF(G34=0,"",IF(AND($H34&lt;&gt;$N$9,SUM(I34:M34)/G34&gt;V34,G34&lt;&gt;4),"Jahr?",""))</f>
        <v/>
      </c>
      <c r="X34" s="335"/>
      <c r="Y34" s="891"/>
      <c r="Z34" s="336"/>
      <c r="AA34" s="336"/>
      <c r="AB34" s="336"/>
      <c r="AC34" s="336"/>
      <c r="AD34" s="896"/>
      <c r="AE34" s="884"/>
    </row>
    <row r="35" spans="1:35" s="140" customFormat="1" ht="12.75" customHeight="1" outlineLevel="1">
      <c r="A35" s="1057" t="str">
        <f t="shared" si="26"/>
        <v/>
      </c>
      <c r="B35" s="1032" t="s">
        <v>381</v>
      </c>
      <c r="C35" s="1033">
        <v>50</v>
      </c>
      <c r="D35" s="1033"/>
      <c r="E35" s="1360" t="s">
        <v>402</v>
      </c>
      <c r="F35" s="160">
        <f t="shared" si="25"/>
        <v>860</v>
      </c>
      <c r="G35" s="1036">
        <v>40</v>
      </c>
      <c r="H35" s="1036">
        <v>2023</v>
      </c>
      <c r="I35" s="1043">
        <v>160</v>
      </c>
      <c r="J35" s="1044">
        <v>40</v>
      </c>
      <c r="K35" s="1045">
        <v>240</v>
      </c>
      <c r="L35" s="1045">
        <v>300</v>
      </c>
      <c r="M35" s="1045">
        <v>120</v>
      </c>
      <c r="N35" s="1046"/>
      <c r="O35" s="1047"/>
      <c r="P35" s="1057" t="str">
        <f t="shared" si="27"/>
        <v/>
      </c>
      <c r="Q35" s="891"/>
      <c r="R35" s="616">
        <f t="shared" si="28"/>
        <v>0</v>
      </c>
      <c r="S35" s="616">
        <f t="shared" si="29"/>
        <v>5</v>
      </c>
      <c r="T35" s="616">
        <f t="shared" si="30"/>
        <v>11</v>
      </c>
      <c r="U35" s="616">
        <f t="shared" si="31"/>
        <v>18.5</v>
      </c>
      <c r="V35" s="892">
        <f t="shared" si="32"/>
        <v>21.5</v>
      </c>
      <c r="W35" s="1057" t="str">
        <f t="shared" si="33"/>
        <v/>
      </c>
      <c r="X35" s="335"/>
      <c r="Y35" s="891"/>
      <c r="Z35" s="336"/>
      <c r="AA35" s="336"/>
      <c r="AB35" s="336"/>
      <c r="AC35" s="336"/>
      <c r="AD35" s="896"/>
      <c r="AE35" s="884"/>
    </row>
    <row r="36" spans="1:35" s="140" customFormat="1" ht="12.75" customHeight="1" outlineLevel="1">
      <c r="A36" s="1057" t="str">
        <f t="shared" si="26"/>
        <v/>
      </c>
      <c r="B36" s="1032"/>
      <c r="C36" s="1033"/>
      <c r="D36" s="1033"/>
      <c r="E36" s="1034"/>
      <c r="F36" s="160">
        <f t="shared" si="25"/>
        <v>0</v>
      </c>
      <c r="G36" s="1036"/>
      <c r="H36" s="1036"/>
      <c r="I36" s="1043"/>
      <c r="J36" s="1044"/>
      <c r="K36" s="1045"/>
      <c r="L36" s="1045"/>
      <c r="M36" s="1045"/>
      <c r="N36" s="1046"/>
      <c r="O36" s="1047"/>
      <c r="P36" s="1057" t="str">
        <f t="shared" si="27"/>
        <v/>
      </c>
      <c r="Q36" s="891"/>
      <c r="R36" s="616">
        <f t="shared" si="28"/>
        <v>0</v>
      </c>
      <c r="S36" s="616">
        <f t="shared" si="29"/>
        <v>0</v>
      </c>
      <c r="T36" s="616">
        <f t="shared" si="30"/>
        <v>0</v>
      </c>
      <c r="U36" s="616">
        <f t="shared" si="31"/>
        <v>0</v>
      </c>
      <c r="V36" s="892">
        <f t="shared" si="32"/>
        <v>0</v>
      </c>
      <c r="W36" s="1057" t="str">
        <f t="shared" si="33"/>
        <v/>
      </c>
      <c r="X36" s="335"/>
      <c r="Y36" s="891"/>
      <c r="Z36" s="336"/>
      <c r="AA36" s="336"/>
      <c r="AB36" s="336"/>
      <c r="AC36" s="336"/>
      <c r="AD36" s="896"/>
      <c r="AE36" s="884"/>
    </row>
    <row r="37" spans="1:35" s="140" customFormat="1">
      <c r="A37" s="1053"/>
      <c r="B37" s="235"/>
      <c r="C37" s="622"/>
      <c r="D37" s="622"/>
      <c r="F37" s="141"/>
      <c r="G37" s="142"/>
      <c r="H37" s="142"/>
      <c r="I37" s="874"/>
      <c r="J37" s="143"/>
      <c r="K37" s="144"/>
      <c r="L37" s="144"/>
      <c r="M37" s="144"/>
      <c r="N37" s="879"/>
      <c r="O37" s="879"/>
      <c r="P37" s="1059"/>
      <c r="Q37" s="877"/>
      <c r="R37" s="143"/>
      <c r="S37" s="144"/>
      <c r="T37" s="144"/>
      <c r="U37" s="144"/>
      <c r="V37" s="879"/>
      <c r="W37" s="1064"/>
      <c r="X37" s="335"/>
      <c r="Y37" s="891"/>
      <c r="Z37" s="336"/>
      <c r="AA37" s="336"/>
      <c r="AB37" s="336"/>
      <c r="AC37" s="336"/>
      <c r="AD37" s="896"/>
      <c r="AE37" s="884"/>
    </row>
    <row r="38" spans="1:35" s="259" customFormat="1">
      <c r="A38" s="1056"/>
      <c r="B38" s="236"/>
      <c r="C38" s="623"/>
      <c r="D38" s="623"/>
      <c r="E38" s="233" t="str">
        <f>TEXT('F0a Konfiguration'!C13,0)&amp;" "&amp;TEXT('F0a Konfiguration'!E13,0)</f>
        <v>AB3 Freizeit, Jugend und Kultur</v>
      </c>
      <c r="F38" s="145">
        <f>SUM(I38:N38)</f>
        <v>520</v>
      </c>
      <c r="G38" s="146"/>
      <c r="H38" s="146"/>
      <c r="I38" s="877">
        <f t="shared" ref="I38:O38" si="42">SUM(I41:I43)</f>
        <v>20</v>
      </c>
      <c r="J38" s="147">
        <f t="shared" si="42"/>
        <v>250</v>
      </c>
      <c r="K38" s="147">
        <f t="shared" si="42"/>
        <v>250</v>
      </c>
      <c r="L38" s="147">
        <f t="shared" si="42"/>
        <v>0</v>
      </c>
      <c r="M38" s="147">
        <f t="shared" si="42"/>
        <v>0</v>
      </c>
      <c r="N38" s="882">
        <f t="shared" si="42"/>
        <v>0</v>
      </c>
      <c r="O38" s="882">
        <f t="shared" si="42"/>
        <v>0</v>
      </c>
      <c r="P38" s="1061"/>
      <c r="Q38" s="891">
        <f t="shared" ref="Q38:V38" si="43">SUM(Q39:Q43)</f>
        <v>50</v>
      </c>
      <c r="R38" s="147">
        <f t="shared" si="43"/>
        <v>50</v>
      </c>
      <c r="S38" s="147">
        <f t="shared" si="43"/>
        <v>56.75</v>
      </c>
      <c r="T38" s="147">
        <f t="shared" si="43"/>
        <v>63</v>
      </c>
      <c r="U38" s="147">
        <f t="shared" si="43"/>
        <v>63</v>
      </c>
      <c r="V38" s="882">
        <f t="shared" si="43"/>
        <v>63</v>
      </c>
      <c r="W38" s="1064"/>
      <c r="X38" s="337">
        <f>'F1a Ausgangsbilanz'!K80</f>
        <v>1369</v>
      </c>
      <c r="Y38" s="895">
        <f>X38+I38-Q38</f>
        <v>1339</v>
      </c>
      <c r="Z38" s="338">
        <f>Y38+J38-R38</f>
        <v>1539</v>
      </c>
      <c r="AA38" s="338">
        <f t="shared" ref="AA38" si="44">Z38+K38-S38</f>
        <v>1732.25</v>
      </c>
      <c r="AB38" s="338">
        <f t="shared" ref="AB38" si="45">AA38+L38-T38</f>
        <v>1669.25</v>
      </c>
      <c r="AC38" s="338">
        <f t="shared" ref="AC38" si="46">AB38+M38-U38</f>
        <v>1606.25</v>
      </c>
      <c r="AD38" s="899">
        <f t="shared" ref="AD38" si="47">AC38+N38-V38</f>
        <v>1543.25</v>
      </c>
      <c r="AE38" s="884" t="s">
        <v>215</v>
      </c>
      <c r="AF38" s="140"/>
      <c r="AG38" s="140"/>
      <c r="AH38" s="140"/>
      <c r="AI38" s="140"/>
    </row>
    <row r="39" spans="1:35" s="259" customFormat="1" outlineLevel="1">
      <c r="A39" s="1056"/>
      <c r="B39" s="234"/>
      <c r="C39" s="623"/>
      <c r="D39" s="623"/>
      <c r="E39" s="205" t="str">
        <f>"Fortschreibung Abschreibungen aus Budget "&amp;TEXT(Budget2,0)</f>
        <v>Fortschreibung Abschreibungen aus Budget 2022</v>
      </c>
      <c r="F39" s="145"/>
      <c r="G39" s="146"/>
      <c r="H39" s="146"/>
      <c r="I39" s="877"/>
      <c r="J39" s="147"/>
      <c r="K39" s="147"/>
      <c r="L39" s="147"/>
      <c r="M39" s="147"/>
      <c r="N39" s="882"/>
      <c r="O39" s="882"/>
      <c r="P39" s="1059"/>
      <c r="Q39" s="891">
        <f>'F1c Budget Neu'!K14</f>
        <v>50</v>
      </c>
      <c r="R39" s="1281">
        <f>Q39</f>
        <v>50</v>
      </c>
      <c r="S39" s="1281">
        <f>R39</f>
        <v>50</v>
      </c>
      <c r="T39" s="1281">
        <f>S39</f>
        <v>50</v>
      </c>
      <c r="U39" s="1281">
        <f>T39</f>
        <v>50</v>
      </c>
      <c r="V39" s="1282">
        <f>U39</f>
        <v>50</v>
      </c>
      <c r="W39" s="1064"/>
      <c r="X39" s="335"/>
      <c r="Y39" s="891"/>
      <c r="Z39" s="336"/>
      <c r="AA39" s="336"/>
      <c r="AB39" s="336"/>
      <c r="AC39" s="336"/>
      <c r="AD39" s="896"/>
      <c r="AE39" s="884" t="s">
        <v>216</v>
      </c>
      <c r="AF39" s="140"/>
      <c r="AG39" s="140"/>
      <c r="AH39" s="140"/>
      <c r="AI39" s="140"/>
    </row>
    <row r="40" spans="1:35" s="259" customFormat="1" ht="22.5" outlineLevel="1">
      <c r="A40" s="1056"/>
      <c r="B40" s="234"/>
      <c r="C40" s="623"/>
      <c r="D40" s="623"/>
      <c r="E40" s="205" t="str">
        <f>"Wegfallende (-) / Zusätzl. (+) Abschr. geg. Budget "&amp;TEXT(Budget2,0)</f>
        <v>Wegfallende (-) / Zusätzl. (+) Abschr. geg. Budget 2022</v>
      </c>
      <c r="F40" s="145"/>
      <c r="G40" s="146"/>
      <c r="H40" s="146"/>
      <c r="I40" s="877"/>
      <c r="J40" s="147"/>
      <c r="K40" s="147"/>
      <c r="L40" s="147"/>
      <c r="M40" s="147"/>
      <c r="N40" s="882"/>
      <c r="O40" s="882"/>
      <c r="P40" s="1059"/>
      <c r="Q40" s="890"/>
      <c r="R40" s="1048"/>
      <c r="S40" s="1048"/>
      <c r="T40" s="1048"/>
      <c r="U40" s="1048"/>
      <c r="V40" s="1049"/>
      <c r="W40" s="1067"/>
      <c r="X40" s="335"/>
      <c r="Y40" s="891"/>
      <c r="Z40" s="336"/>
      <c r="AA40" s="336"/>
      <c r="AB40" s="336"/>
      <c r="AC40" s="336"/>
      <c r="AD40" s="896"/>
      <c r="AE40" s="884" t="s">
        <v>216</v>
      </c>
    </row>
    <row r="41" spans="1:35" s="140" customFormat="1" outlineLevel="1">
      <c r="A41" s="1057" t="str">
        <f>IF(AND(SUM(I41:O41)&lt;&gt;0,B41=""),"GB??","")</f>
        <v/>
      </c>
      <c r="B41" s="1032" t="s">
        <v>382</v>
      </c>
      <c r="C41" s="1033">
        <v>50</v>
      </c>
      <c r="D41" s="1033"/>
      <c r="E41" s="1034" t="s">
        <v>403</v>
      </c>
      <c r="F41" s="159">
        <f t="shared" ref="F41:F43" si="48">SUM(I41:N41)</f>
        <v>520</v>
      </c>
      <c r="G41" s="1036">
        <v>40</v>
      </c>
      <c r="H41" s="1036">
        <v>2023</v>
      </c>
      <c r="I41" s="1037">
        <v>20</v>
      </c>
      <c r="J41" s="1038">
        <v>250</v>
      </c>
      <c r="K41" s="1039">
        <v>250</v>
      </c>
      <c r="L41" s="1039"/>
      <c r="M41" s="1039"/>
      <c r="N41" s="1041"/>
      <c r="O41" s="1042"/>
      <c r="P41" s="1057" t="str">
        <f>IF(SUM(I41:O41)&lt;&gt;0,IF(ISBLANK(G41),"ND??",""),"")</f>
        <v/>
      </c>
      <c r="Q41" s="891"/>
      <c r="R41" s="616">
        <f>IF(OR($H41&gt;I$9,I41=0),0,IF(AND(OR($H41=0,$H41=I$9),$G41&gt;0),I41/$G41,0))</f>
        <v>0</v>
      </c>
      <c r="S41" s="616">
        <f>IF(AND($H41&lt;J$9,$H41&gt;0),R41+J41/$G41,IF($H41=J$9,SUM(I41:J41)/$G41,IF(AND($G41&gt;0,$H41=0),R41+J41/$G41,0)))</f>
        <v>6.75</v>
      </c>
      <c r="T41" s="616">
        <f>IF(AND($H41&lt;K$9,$H41&gt;0),S41+K41/$G41,IF($H41=K$9,SUM(I41:K41)/$G41,IF(AND($G41&gt;0,$H41=0),S41+K41/$G41,0)))</f>
        <v>13</v>
      </c>
      <c r="U41" s="616">
        <f>IF(AND($H41&lt;L$9,$H41&gt;0),T41+L41/$G41,IF($H41=L$9,SUM(I41:L41)/$G41,IF(AND($G41&gt;0,$H41=0),T41+L41/$G41,0)))</f>
        <v>13</v>
      </c>
      <c r="V41" s="892">
        <f>IF(AND($H41&lt;M$9,$H41&gt;0),U41+M41/$G41,IF($H41=M$9,SUM(I41:M41)/$G41,IF(AND($G41&gt;0,$H41=0),U41+M41/$G41-IF(G41=4,R41,0),0)))</f>
        <v>13</v>
      </c>
      <c r="W41" s="1057" t="str">
        <f>IF(G41=0,"",IF(AND($H41&lt;&gt;$N$9,SUM(I41:M41)/G41&gt;V41,G41&lt;&gt;4),"Jahr?",""))</f>
        <v/>
      </c>
      <c r="X41" s="335"/>
      <c r="Y41" s="891"/>
      <c r="Z41" s="336"/>
      <c r="AA41" s="336"/>
      <c r="AB41" s="336"/>
      <c r="AC41" s="336"/>
      <c r="AD41" s="896"/>
      <c r="AE41" s="884"/>
    </row>
    <row r="42" spans="1:35" s="140" customFormat="1" outlineLevel="1">
      <c r="A42" s="1057" t="str">
        <f t="shared" ref="A42:A43" si="49">IF(AND(SUM(I42:O42)&lt;&gt;0,B42=""),"GB??","")</f>
        <v/>
      </c>
      <c r="B42" s="1032"/>
      <c r="C42" s="1033"/>
      <c r="D42" s="1033"/>
      <c r="E42" s="1034"/>
      <c r="F42" s="160">
        <f t="shared" si="48"/>
        <v>0</v>
      </c>
      <c r="G42" s="1036"/>
      <c r="H42" s="1036"/>
      <c r="I42" s="1043"/>
      <c r="J42" s="1044"/>
      <c r="K42" s="1045"/>
      <c r="L42" s="1045"/>
      <c r="M42" s="1045"/>
      <c r="N42" s="1046"/>
      <c r="O42" s="1047"/>
      <c r="P42" s="1057" t="str">
        <f t="shared" ref="P42:P43" si="50">IF(SUM(I42:O42)&lt;&gt;0,IF(ISBLANK(G42),"ND??",""),"")</f>
        <v/>
      </c>
      <c r="Q42" s="891"/>
      <c r="R42" s="616">
        <f t="shared" ref="R42:R43" si="51">IF(OR($H42&gt;I$9,I42=0),0,IF(AND(OR($H42=0,$H42=I$9),$G42&gt;0),I42/$G42,0))</f>
        <v>0</v>
      </c>
      <c r="S42" s="616">
        <f t="shared" ref="S42:S43" si="52">IF(AND($H42&lt;J$9,$H42&gt;0),R42+J42/$G42,IF($H42=J$9,SUM(I42:J42)/$G42,IF(AND($G42&gt;0,$H42=0),R42+J42/$G42,0)))</f>
        <v>0</v>
      </c>
      <c r="T42" s="616">
        <f t="shared" ref="T42:T43" si="53">IF(AND($H42&lt;K$9,$H42&gt;0),S42+K42/$G42,IF($H42=K$9,SUM(I42:K42)/$G42,IF(AND($G42&gt;0,$H42=0),S42+K42/$G42,0)))</f>
        <v>0</v>
      </c>
      <c r="U42" s="616">
        <f t="shared" ref="U42:U43" si="54">IF(AND($H42&lt;L$9,$H42&gt;0),T42+L42/$G42,IF($H42=L$9,SUM(I42:L42)/$G42,IF(AND($G42&gt;0,$H42=0),T42+L42/$G42,0)))</f>
        <v>0</v>
      </c>
      <c r="V42" s="892">
        <f t="shared" ref="V42:V43" si="55">IF(AND($H42&lt;M$9,$H42&gt;0),U42+M42/$G42,IF($H42=M$9,SUM(I42:M42)/$G42,IF(AND($G42&gt;0,$H42=0),U42+M42/$G42-IF(G42=4,R42,0),0)))</f>
        <v>0</v>
      </c>
      <c r="W42" s="1057" t="str">
        <f t="shared" ref="W42:W43" si="56">IF(G42=0,"",IF(AND($H42&lt;&gt;$N$9,SUM(I42:M42)/G42&gt;V42,G42&lt;&gt;4),"Jahr?",""))</f>
        <v/>
      </c>
      <c r="X42" s="335"/>
      <c r="Y42" s="891"/>
      <c r="Z42" s="336"/>
      <c r="AA42" s="336"/>
      <c r="AB42" s="336"/>
      <c r="AC42" s="336"/>
      <c r="AD42" s="896"/>
      <c r="AE42" s="884"/>
    </row>
    <row r="43" spans="1:35" s="140" customFormat="1" outlineLevel="1">
      <c r="A43" s="1057" t="str">
        <f t="shared" si="49"/>
        <v/>
      </c>
      <c r="B43" s="1032"/>
      <c r="C43" s="1033"/>
      <c r="D43" s="1033"/>
      <c r="E43" s="1034"/>
      <c r="F43" s="160">
        <f t="shared" si="48"/>
        <v>0</v>
      </c>
      <c r="G43" s="1036"/>
      <c r="H43" s="1036"/>
      <c r="I43" s="1043"/>
      <c r="J43" s="1044"/>
      <c r="K43" s="1045"/>
      <c r="L43" s="1045"/>
      <c r="M43" s="1045"/>
      <c r="N43" s="1046"/>
      <c r="O43" s="1047"/>
      <c r="P43" s="1057" t="str">
        <f t="shared" si="50"/>
        <v/>
      </c>
      <c r="Q43" s="877"/>
      <c r="R43" s="616">
        <f t="shared" si="51"/>
        <v>0</v>
      </c>
      <c r="S43" s="616">
        <f t="shared" si="52"/>
        <v>0</v>
      </c>
      <c r="T43" s="616">
        <f t="shared" si="53"/>
        <v>0</v>
      </c>
      <c r="U43" s="616">
        <f t="shared" si="54"/>
        <v>0</v>
      </c>
      <c r="V43" s="892">
        <f t="shared" si="55"/>
        <v>0</v>
      </c>
      <c r="W43" s="1057" t="str">
        <f t="shared" si="56"/>
        <v/>
      </c>
      <c r="X43" s="335"/>
      <c r="Y43" s="891"/>
      <c r="Z43" s="336"/>
      <c r="AA43" s="336"/>
      <c r="AB43" s="336"/>
      <c r="AC43" s="336"/>
      <c r="AD43" s="896"/>
      <c r="AE43" s="884"/>
    </row>
    <row r="44" spans="1:35" s="140" customFormat="1">
      <c r="A44" s="1053"/>
      <c r="B44" s="235"/>
      <c r="C44" s="622"/>
      <c r="D44" s="622"/>
      <c r="F44" s="141"/>
      <c r="G44" s="142"/>
      <c r="H44" s="142"/>
      <c r="I44" s="874"/>
      <c r="J44" s="143"/>
      <c r="K44" s="144"/>
      <c r="L44" s="144"/>
      <c r="M44" s="144"/>
      <c r="N44" s="879"/>
      <c r="O44" s="879"/>
      <c r="P44" s="1062"/>
      <c r="Q44" s="891"/>
      <c r="R44" s="143"/>
      <c r="S44" s="144"/>
      <c r="T44" s="144"/>
      <c r="U44" s="144"/>
      <c r="V44" s="879"/>
      <c r="W44" s="1064"/>
      <c r="X44" s="335"/>
      <c r="Y44" s="891"/>
      <c r="Z44" s="336"/>
      <c r="AA44" s="336"/>
      <c r="AB44" s="336"/>
      <c r="AC44" s="336"/>
      <c r="AD44" s="896"/>
      <c r="AE44" s="884"/>
    </row>
    <row r="45" spans="1:35" s="100" customFormat="1">
      <c r="A45" s="1056"/>
      <c r="B45" s="236"/>
      <c r="C45" s="623"/>
      <c r="D45" s="623"/>
      <c r="E45" s="233" t="str">
        <f>TEXT('F0a Konfiguration'!C14,0)&amp;" "&amp;TEXT('F0a Konfiguration'!E14,0)</f>
        <v>AB4 Soziales, Gesundheit und Alter</v>
      </c>
      <c r="F45" s="145">
        <f>SUM(I45:N45)</f>
        <v>2735</v>
      </c>
      <c r="G45" s="146"/>
      <c r="H45" s="146"/>
      <c r="I45" s="877">
        <f t="shared" ref="I45:O45" si="57">SUM(I48:I51)</f>
        <v>245</v>
      </c>
      <c r="J45" s="147">
        <f t="shared" si="57"/>
        <v>120</v>
      </c>
      <c r="K45" s="147">
        <f t="shared" si="57"/>
        <v>150</v>
      </c>
      <c r="L45" s="147">
        <f t="shared" si="57"/>
        <v>920</v>
      </c>
      <c r="M45" s="147">
        <f t="shared" si="57"/>
        <v>800</v>
      </c>
      <c r="N45" s="882">
        <f t="shared" si="57"/>
        <v>500</v>
      </c>
      <c r="O45" s="882">
        <f t="shared" si="57"/>
        <v>400</v>
      </c>
      <c r="P45" s="1061"/>
      <c r="Q45" s="891">
        <f t="shared" ref="Q45:V45" si="58">SUM(Q46:Q51)</f>
        <v>329</v>
      </c>
      <c r="R45" s="147">
        <f t="shared" si="58"/>
        <v>206</v>
      </c>
      <c r="S45" s="147">
        <f t="shared" si="58"/>
        <v>156.94696969696969</v>
      </c>
      <c r="T45" s="147">
        <f t="shared" si="58"/>
        <v>157.49242424242425</v>
      </c>
      <c r="U45" s="147">
        <f t="shared" si="58"/>
        <v>185.37121212121212</v>
      </c>
      <c r="V45" s="882">
        <f t="shared" si="58"/>
        <v>209.61363636363637</v>
      </c>
      <c r="W45" s="1067"/>
      <c r="X45" s="337">
        <f>'F1a Ausgangsbilanz'!L80</f>
        <v>1591</v>
      </c>
      <c r="Y45" s="895">
        <f>X45+I45-Q45</f>
        <v>1507</v>
      </c>
      <c r="Z45" s="338">
        <f>Y45+J45-R45</f>
        <v>1421</v>
      </c>
      <c r="AA45" s="338">
        <f t="shared" ref="AA45" si="59">Z45+K45-S45</f>
        <v>1414.0530303030303</v>
      </c>
      <c r="AB45" s="338">
        <f t="shared" ref="AB45" si="60">AA45+L45-T45</f>
        <v>2176.560606060606</v>
      </c>
      <c r="AC45" s="338">
        <f t="shared" ref="AC45" si="61">AB45+M45-U45</f>
        <v>2791.189393939394</v>
      </c>
      <c r="AD45" s="899">
        <f t="shared" ref="AD45" si="62">AC45+N45-V45</f>
        <v>3081.5757575757575</v>
      </c>
      <c r="AE45" s="884" t="s">
        <v>215</v>
      </c>
      <c r="AF45" s="140"/>
      <c r="AG45" s="140"/>
      <c r="AH45" s="140"/>
      <c r="AI45" s="140"/>
    </row>
    <row r="46" spans="1:35" s="259" customFormat="1" outlineLevel="1">
      <c r="A46" s="1056"/>
      <c r="B46" s="234"/>
      <c r="C46" s="623"/>
      <c r="D46" s="623"/>
      <c r="E46" s="205" t="str">
        <f>"Fortschreibung Abschreibungen aus Budget "&amp;TEXT(Budget2,0)</f>
        <v>Fortschreibung Abschreibungen aus Budget 2022</v>
      </c>
      <c r="F46" s="145"/>
      <c r="G46" s="146"/>
      <c r="H46" s="146"/>
      <c r="I46" s="877"/>
      <c r="J46" s="147"/>
      <c r="K46" s="147"/>
      <c r="L46" s="147"/>
      <c r="M46" s="147"/>
      <c r="N46" s="882"/>
      <c r="O46" s="882"/>
      <c r="P46" s="1059"/>
      <c r="Q46" s="890">
        <f>'F1c Budget Neu'!L14</f>
        <v>329</v>
      </c>
      <c r="R46" s="1281">
        <f>Q46</f>
        <v>329</v>
      </c>
      <c r="S46" s="1281">
        <f>R46</f>
        <v>329</v>
      </c>
      <c r="T46" s="1281">
        <f>S46</f>
        <v>329</v>
      </c>
      <c r="U46" s="1281">
        <f>T46</f>
        <v>329</v>
      </c>
      <c r="V46" s="1282">
        <f>U46</f>
        <v>329</v>
      </c>
      <c r="W46" s="1067"/>
      <c r="X46" s="335"/>
      <c r="Y46" s="891"/>
      <c r="Z46" s="336"/>
      <c r="AA46" s="336"/>
      <c r="AB46" s="336"/>
      <c r="AC46" s="336"/>
      <c r="AD46" s="896"/>
      <c r="AE46" s="884" t="s">
        <v>216</v>
      </c>
      <c r="AF46" s="140"/>
      <c r="AG46" s="140"/>
      <c r="AH46" s="140"/>
      <c r="AI46" s="140"/>
    </row>
    <row r="47" spans="1:35" s="259" customFormat="1" ht="22.5" outlineLevel="1">
      <c r="A47" s="1056"/>
      <c r="B47" s="234"/>
      <c r="C47" s="623"/>
      <c r="D47" s="623"/>
      <c r="E47" s="205" t="str">
        <f>"Wegfallende (-) / Zusätzl. (+) Abschr. geg. Budget "&amp;TEXT(Budget2,0)</f>
        <v>Wegfallende (-) / Zusätzl. (+) Abschr. geg. Budget 2022</v>
      </c>
      <c r="F47" s="145"/>
      <c r="G47" s="146"/>
      <c r="H47" s="146"/>
      <c r="I47" s="877"/>
      <c r="J47" s="147"/>
      <c r="K47" s="147"/>
      <c r="L47" s="147"/>
      <c r="M47" s="147"/>
      <c r="N47" s="882"/>
      <c r="O47" s="882"/>
      <c r="P47" s="1059"/>
      <c r="Q47" s="891"/>
      <c r="R47" s="1048">
        <v>-123</v>
      </c>
      <c r="S47" s="1048">
        <v>-203</v>
      </c>
      <c r="T47" s="1048">
        <v>-207</v>
      </c>
      <c r="U47" s="1048">
        <v>-207</v>
      </c>
      <c r="V47" s="1049">
        <v>-207</v>
      </c>
      <c r="W47" s="1067"/>
      <c r="X47" s="335"/>
      <c r="Y47" s="891"/>
      <c r="Z47" s="336"/>
      <c r="AA47" s="336"/>
      <c r="AB47" s="336"/>
      <c r="AC47" s="336"/>
      <c r="AD47" s="896"/>
      <c r="AE47" s="884" t="s">
        <v>216</v>
      </c>
    </row>
    <row r="48" spans="1:35" s="140" customFormat="1" ht="12.75" customHeight="1" outlineLevel="1">
      <c r="A48" s="1057" t="str">
        <f>IF(AND(SUM(I48:O48)&lt;&gt;0,B48=""),"GB??","")</f>
        <v/>
      </c>
      <c r="B48" s="1032" t="s">
        <v>383</v>
      </c>
      <c r="C48" s="1033">
        <v>50</v>
      </c>
      <c r="D48" s="1033" t="s">
        <v>404</v>
      </c>
      <c r="E48" s="1034" t="s">
        <v>405</v>
      </c>
      <c r="F48" s="159">
        <f t="shared" ref="F48:F51" si="63">SUM(I48:N48)</f>
        <v>2420</v>
      </c>
      <c r="G48" s="1036">
        <v>33</v>
      </c>
      <c r="H48" s="1036">
        <v>2023</v>
      </c>
      <c r="I48" s="1037">
        <v>50</v>
      </c>
      <c r="J48" s="1038"/>
      <c r="K48" s="1039">
        <v>150</v>
      </c>
      <c r="L48" s="1039">
        <v>920</v>
      </c>
      <c r="M48" s="1039">
        <v>800</v>
      </c>
      <c r="N48" s="1041">
        <v>500</v>
      </c>
      <c r="O48" s="1042">
        <v>400</v>
      </c>
      <c r="P48" s="1057" t="str">
        <f>IF(SUM(I48:O48)&lt;&gt;0,IF(ISBLANK(G48),"ND??",""),"")</f>
        <v/>
      </c>
      <c r="Q48" s="891"/>
      <c r="R48" s="616">
        <f>IF(OR($H48&gt;I$9,I48=0),0,IF(AND(OR($H48=0,$H48=I$9),$G48&gt;0),I48/$G48,0))</f>
        <v>0</v>
      </c>
      <c r="S48" s="616">
        <f>IF(AND($H48&lt;J$9,$H48&gt;0),R48+J48/$G48,IF($H48=J$9,SUM(I48:J48)/$G48,IF(AND($G48&gt;0,$H48=0),R48+J48/$G48,0)))</f>
        <v>1.5151515151515151</v>
      </c>
      <c r="T48" s="616">
        <f>IF(AND($H48&lt;K$9,$H48&gt;0),S48+K48/$G48,IF($H48=K$9,SUM(I48:K48)/$G48,IF(AND($G48&gt;0,$H48=0),S48+K48/$G48,0)))</f>
        <v>6.0606060606060606</v>
      </c>
      <c r="U48" s="616">
        <f>IF(AND($H48&lt;L$9,$H48&gt;0),T48+L48/$G48,IF($H48=L$9,SUM(I48:L48)/$G48,IF(AND($G48&gt;0,$H48=0),T48+L48/$G48,0)))</f>
        <v>33.939393939393938</v>
      </c>
      <c r="V48" s="892">
        <f>IF(AND($H48&lt;M$9,$H48&gt;0),U48+M48/$G48,IF($H48=M$9,SUM(I48:M48)/$G48,IF(AND($G48&gt;0,$H48=0),U48+M48/$G48-IF(G48=4,R48,0),0)))</f>
        <v>58.18181818181818</v>
      </c>
      <c r="W48" s="1057" t="str">
        <f>IF(G48=0,"",IF(AND($H48&lt;&gt;$N$9,SUM(I48:M48)/G48&gt;V48,G48&lt;&gt;4),"Jahr?",""))</f>
        <v/>
      </c>
      <c r="X48" s="335"/>
      <c r="Y48" s="891"/>
      <c r="Z48" s="336"/>
      <c r="AA48" s="336"/>
      <c r="AB48" s="336"/>
      <c r="AC48" s="336"/>
      <c r="AD48" s="896"/>
      <c r="AE48" s="884"/>
    </row>
    <row r="49" spans="1:35" s="140" customFormat="1" ht="12.75" customHeight="1" outlineLevel="1">
      <c r="A49" s="1057" t="str">
        <f t="shared" ref="A49:A51" si="64">IF(AND(SUM(I49:O49)&lt;&gt;0,B49=""),"GB??","")</f>
        <v/>
      </c>
      <c r="B49" s="1032" t="s">
        <v>383</v>
      </c>
      <c r="C49" s="1033">
        <v>50</v>
      </c>
      <c r="D49" s="1033" t="s">
        <v>404</v>
      </c>
      <c r="E49" s="1034" t="s">
        <v>406</v>
      </c>
      <c r="F49" s="160">
        <f t="shared" si="63"/>
        <v>210</v>
      </c>
      <c r="G49" s="1036">
        <v>8</v>
      </c>
      <c r="H49" s="1036">
        <v>2023</v>
      </c>
      <c r="I49" s="1043">
        <v>90</v>
      </c>
      <c r="J49" s="1044">
        <v>120</v>
      </c>
      <c r="K49" s="1045"/>
      <c r="L49" s="1045"/>
      <c r="M49" s="1045"/>
      <c r="N49" s="1046"/>
      <c r="O49" s="1047"/>
      <c r="P49" s="1057" t="str">
        <f t="shared" ref="P49:P51" si="65">IF(SUM(I49:O49)&lt;&gt;0,IF(ISBLANK(G49),"ND??",""),"")</f>
        <v/>
      </c>
      <c r="Q49" s="891"/>
      <c r="R49" s="616">
        <f t="shared" ref="R49:R51" si="66">IF(OR($H49&gt;I$9,I49=0),0,IF(AND(OR($H49=0,$H49=I$9),$G49&gt;0),I49/$G49,0))</f>
        <v>0</v>
      </c>
      <c r="S49" s="616">
        <f t="shared" ref="S49:S51" si="67">IF(AND($H49&lt;J$9,$H49&gt;0),R49+J49/$G49,IF($H49=J$9,SUM(I49:J49)/$G49,IF(AND($G49&gt;0,$H49=0),R49+J49/$G49,0)))</f>
        <v>26.25</v>
      </c>
      <c r="T49" s="616">
        <f t="shared" ref="T49:T51" si="68">IF(AND($H49&lt;K$9,$H49&gt;0),S49+K49/$G49,IF($H49=K$9,SUM(I49:K49)/$G49,IF(AND($G49&gt;0,$H49=0),S49+K49/$G49,0)))</f>
        <v>26.25</v>
      </c>
      <c r="U49" s="616">
        <f t="shared" ref="U49:U51" si="69">IF(AND($H49&lt;L$9,$H49&gt;0),T49+L49/$G49,IF($H49=L$9,SUM(I49:L49)/$G49,IF(AND($G49&gt;0,$H49=0),T49+L49/$G49,0)))</f>
        <v>26.25</v>
      </c>
      <c r="V49" s="892">
        <f t="shared" ref="V49:V51" si="70">IF(AND($H49&lt;M$9,$H49&gt;0),U49+M49/$G49,IF($H49=M$9,SUM(I49:M49)/$G49,IF(AND($G49&gt;0,$H49=0),U49+M49/$G49-IF(G49=4,R49,0),0)))</f>
        <v>26.25</v>
      </c>
      <c r="W49" s="1057" t="str">
        <f t="shared" ref="W49:W51" si="71">IF(G49=0,"",IF(AND($H49&lt;&gt;$N$9,SUM(I49:M49)/G49&gt;V49,G49&lt;&gt;4),"Jahr?",""))</f>
        <v/>
      </c>
      <c r="X49" s="335"/>
      <c r="Y49" s="891"/>
      <c r="Z49" s="336"/>
      <c r="AA49" s="336"/>
      <c r="AB49" s="336"/>
      <c r="AC49" s="336"/>
      <c r="AD49" s="896"/>
      <c r="AE49" s="884"/>
    </row>
    <row r="50" spans="1:35" s="140" customFormat="1" ht="12.75" customHeight="1" outlineLevel="1">
      <c r="A50" s="1057" t="str">
        <f t="shared" si="64"/>
        <v/>
      </c>
      <c r="B50" s="1032" t="s">
        <v>383</v>
      </c>
      <c r="C50" s="1033">
        <v>50</v>
      </c>
      <c r="D50" s="1033" t="s">
        <v>404</v>
      </c>
      <c r="E50" s="1034" t="s">
        <v>407</v>
      </c>
      <c r="F50" s="160">
        <f t="shared" si="63"/>
        <v>105</v>
      </c>
      <c r="G50" s="1036">
        <v>33</v>
      </c>
      <c r="H50" s="1036">
        <v>2023</v>
      </c>
      <c r="I50" s="1043">
        <v>105</v>
      </c>
      <c r="J50" s="1044"/>
      <c r="K50" s="1045"/>
      <c r="L50" s="1045"/>
      <c r="M50" s="1045"/>
      <c r="N50" s="1046"/>
      <c r="O50" s="1047"/>
      <c r="P50" s="1057" t="str">
        <f t="shared" si="65"/>
        <v/>
      </c>
      <c r="Q50" s="891"/>
      <c r="R50" s="616">
        <f t="shared" si="66"/>
        <v>0</v>
      </c>
      <c r="S50" s="616">
        <f t="shared" si="67"/>
        <v>3.1818181818181817</v>
      </c>
      <c r="T50" s="616">
        <f t="shared" si="68"/>
        <v>3.1818181818181817</v>
      </c>
      <c r="U50" s="616">
        <f t="shared" si="69"/>
        <v>3.1818181818181817</v>
      </c>
      <c r="V50" s="892">
        <f t="shared" si="70"/>
        <v>3.1818181818181817</v>
      </c>
      <c r="W50" s="1057" t="str">
        <f t="shared" si="71"/>
        <v/>
      </c>
      <c r="X50" s="335"/>
      <c r="Y50" s="891"/>
      <c r="Z50" s="336"/>
      <c r="AA50" s="336"/>
      <c r="AB50" s="336"/>
      <c r="AC50" s="336"/>
      <c r="AD50" s="896"/>
      <c r="AE50" s="884"/>
    </row>
    <row r="51" spans="1:35" s="140" customFormat="1" ht="12.75" customHeight="1" outlineLevel="1">
      <c r="A51" s="1057" t="str">
        <f t="shared" si="64"/>
        <v/>
      </c>
      <c r="B51" s="1032"/>
      <c r="C51" s="1033"/>
      <c r="D51" s="1033"/>
      <c r="E51" s="1034"/>
      <c r="F51" s="160">
        <f t="shared" si="63"/>
        <v>0</v>
      </c>
      <c r="G51" s="1036"/>
      <c r="H51" s="1036"/>
      <c r="I51" s="1043"/>
      <c r="J51" s="1044"/>
      <c r="K51" s="1045"/>
      <c r="L51" s="1045"/>
      <c r="M51" s="1045"/>
      <c r="N51" s="1046"/>
      <c r="O51" s="1047"/>
      <c r="P51" s="1057" t="str">
        <f t="shared" si="65"/>
        <v/>
      </c>
      <c r="Q51" s="891"/>
      <c r="R51" s="616">
        <f t="shared" si="66"/>
        <v>0</v>
      </c>
      <c r="S51" s="616">
        <f t="shared" si="67"/>
        <v>0</v>
      </c>
      <c r="T51" s="616">
        <f t="shared" si="68"/>
        <v>0</v>
      </c>
      <c r="U51" s="616">
        <f t="shared" si="69"/>
        <v>0</v>
      </c>
      <c r="V51" s="892">
        <f t="shared" si="70"/>
        <v>0</v>
      </c>
      <c r="W51" s="1057" t="str">
        <f t="shared" si="71"/>
        <v/>
      </c>
      <c r="X51" s="335"/>
      <c r="Y51" s="891"/>
      <c r="Z51" s="336"/>
      <c r="AA51" s="336"/>
      <c r="AB51" s="336"/>
      <c r="AC51" s="336"/>
      <c r="AD51" s="896"/>
      <c r="AE51" s="884"/>
    </row>
    <row r="52" spans="1:35" s="140" customFormat="1">
      <c r="A52" s="1053"/>
      <c r="B52" s="235"/>
      <c r="C52" s="622"/>
      <c r="D52" s="622"/>
      <c r="F52" s="141"/>
      <c r="G52" s="142"/>
      <c r="H52" s="142"/>
      <c r="I52" s="874"/>
      <c r="J52" s="143"/>
      <c r="K52" s="144"/>
      <c r="L52" s="144"/>
      <c r="M52" s="144"/>
      <c r="N52" s="879"/>
      <c r="O52" s="879"/>
      <c r="P52" s="1059"/>
      <c r="Q52" s="891"/>
      <c r="R52" s="143"/>
      <c r="S52" s="144"/>
      <c r="T52" s="144"/>
      <c r="U52" s="144"/>
      <c r="V52" s="879"/>
      <c r="W52" s="1064"/>
      <c r="X52" s="335"/>
      <c r="Y52" s="891"/>
      <c r="Z52" s="336"/>
      <c r="AA52" s="336"/>
      <c r="AB52" s="336"/>
      <c r="AC52" s="336"/>
      <c r="AD52" s="896"/>
      <c r="AE52" s="884"/>
    </row>
    <row r="53" spans="1:35" s="259" customFormat="1" ht="22.5">
      <c r="A53" s="1056"/>
      <c r="B53" s="236"/>
      <c r="C53" s="623"/>
      <c r="D53" s="623"/>
      <c r="E53" s="233" t="str">
        <f>TEXT('F0a Konfiguration'!C15,0)&amp;" "&amp;TEXT('F0a Konfiguration'!E15,0)</f>
        <v>AB5 Infrastruktur, Sicherheit, Raumordnung und Umwelt</v>
      </c>
      <c r="F53" s="145">
        <f>SUM(I53:N53)</f>
        <v>9430</v>
      </c>
      <c r="G53" s="146"/>
      <c r="H53" s="146"/>
      <c r="I53" s="877">
        <f t="shared" ref="I53:O53" si="72">SUM(I56:I79)</f>
        <v>2060</v>
      </c>
      <c r="J53" s="147">
        <f t="shared" si="72"/>
        <v>2325</v>
      </c>
      <c r="K53" s="147">
        <f t="shared" si="72"/>
        <v>2435</v>
      </c>
      <c r="L53" s="147">
        <f t="shared" si="72"/>
        <v>1220</v>
      </c>
      <c r="M53" s="147">
        <f t="shared" si="72"/>
        <v>960</v>
      </c>
      <c r="N53" s="882">
        <f t="shared" si="72"/>
        <v>430</v>
      </c>
      <c r="O53" s="882">
        <f t="shared" si="72"/>
        <v>420</v>
      </c>
      <c r="P53" s="1061"/>
      <c r="Q53" s="890">
        <f t="shared" ref="Q53:V53" si="73">SUM(Q54:Q79)</f>
        <v>393</v>
      </c>
      <c r="R53" s="147">
        <f t="shared" si="73"/>
        <v>393</v>
      </c>
      <c r="S53" s="147">
        <f t="shared" si="73"/>
        <v>514.05833333333317</v>
      </c>
      <c r="T53" s="147">
        <f t="shared" si="73"/>
        <v>554.18333333333339</v>
      </c>
      <c r="U53" s="147">
        <f t="shared" si="73"/>
        <v>607.6</v>
      </c>
      <c r="V53" s="882">
        <f t="shared" si="73"/>
        <v>628.88333333333333</v>
      </c>
      <c r="W53" s="1067"/>
      <c r="X53" s="337">
        <f>'F1a Ausgangsbilanz'!M80</f>
        <v>11124</v>
      </c>
      <c r="Y53" s="895">
        <f>X53+I53-Q53</f>
        <v>12791</v>
      </c>
      <c r="Z53" s="338">
        <f>Y53+J53-R53</f>
        <v>14723</v>
      </c>
      <c r="AA53" s="338">
        <f t="shared" ref="AA53" si="74">Z53+K53-S53</f>
        <v>16643.941666666666</v>
      </c>
      <c r="AB53" s="338">
        <f t="shared" ref="AB53" si="75">AA53+L53-T53</f>
        <v>17309.758333333331</v>
      </c>
      <c r="AC53" s="338">
        <f t="shared" ref="AC53" si="76">AB53+M53-U53</f>
        <v>17662.158333333333</v>
      </c>
      <c r="AD53" s="899">
        <f t="shared" ref="AD53" si="77">AC53+N53-V53</f>
        <v>17463.274999999998</v>
      </c>
      <c r="AE53" s="884" t="s">
        <v>215</v>
      </c>
      <c r="AF53" s="140"/>
      <c r="AG53" s="140"/>
      <c r="AH53" s="140"/>
      <c r="AI53" s="140"/>
    </row>
    <row r="54" spans="1:35" s="259" customFormat="1" outlineLevel="1">
      <c r="A54" s="1056"/>
      <c r="B54" s="234"/>
      <c r="C54" s="623"/>
      <c r="D54" s="623"/>
      <c r="E54" s="205" t="str">
        <f>"Fortschreibung Abschreibungen aus Budget "&amp;TEXT(Budget2,0)</f>
        <v>Fortschreibung Abschreibungen aus Budget 2022</v>
      </c>
      <c r="F54" s="145"/>
      <c r="G54" s="146"/>
      <c r="H54" s="146"/>
      <c r="I54" s="877"/>
      <c r="J54" s="147"/>
      <c r="K54" s="147"/>
      <c r="L54" s="147"/>
      <c r="M54" s="147"/>
      <c r="N54" s="882"/>
      <c r="O54" s="882"/>
      <c r="P54" s="1059"/>
      <c r="Q54" s="891">
        <f>'F1c Budget Neu'!M14</f>
        <v>393</v>
      </c>
      <c r="R54" s="1281">
        <f>Q54</f>
        <v>393</v>
      </c>
      <c r="S54" s="1281">
        <f>R54</f>
        <v>393</v>
      </c>
      <c r="T54" s="1281">
        <f>S54</f>
        <v>393</v>
      </c>
      <c r="U54" s="1281">
        <f>T54</f>
        <v>393</v>
      </c>
      <c r="V54" s="1282">
        <f>U54</f>
        <v>393</v>
      </c>
      <c r="W54" s="1067"/>
      <c r="X54" s="335"/>
      <c r="Y54" s="891"/>
      <c r="Z54" s="336"/>
      <c r="AA54" s="336"/>
      <c r="AB54" s="336"/>
      <c r="AC54" s="336"/>
      <c r="AD54" s="896"/>
      <c r="AE54" s="884" t="s">
        <v>216</v>
      </c>
    </row>
    <row r="55" spans="1:35" s="259" customFormat="1" ht="22.5" outlineLevel="1">
      <c r="A55" s="1056"/>
      <c r="B55" s="234"/>
      <c r="C55" s="623"/>
      <c r="D55" s="623"/>
      <c r="E55" s="205" t="str">
        <f>"Wegfallende (-) / Zusätzl. (+) Abschr. geg. Budget "&amp;TEXT(Budget2,0)</f>
        <v>Wegfallende (-) / Zusätzl. (+) Abschr. geg. Budget 2022</v>
      </c>
      <c r="F55" s="145"/>
      <c r="G55" s="146"/>
      <c r="H55" s="146"/>
      <c r="I55" s="877"/>
      <c r="J55" s="147"/>
      <c r="K55" s="147"/>
      <c r="L55" s="147"/>
      <c r="M55" s="147"/>
      <c r="N55" s="882"/>
      <c r="O55" s="882"/>
      <c r="P55" s="1059"/>
      <c r="Q55" s="891"/>
      <c r="R55" s="1048"/>
      <c r="S55" s="1048"/>
      <c r="T55" s="1048">
        <v>-16</v>
      </c>
      <c r="U55" s="1048">
        <v>-17</v>
      </c>
      <c r="V55" s="1049">
        <v>-38</v>
      </c>
      <c r="W55" s="1067"/>
      <c r="X55" s="335"/>
      <c r="Y55" s="891"/>
      <c r="Z55" s="336"/>
      <c r="AA55" s="336"/>
      <c r="AB55" s="336"/>
      <c r="AC55" s="336"/>
      <c r="AD55" s="896"/>
      <c r="AE55" s="884" t="s">
        <v>216</v>
      </c>
    </row>
    <row r="56" spans="1:35" s="140" customFormat="1" outlineLevel="1">
      <c r="A56" s="1057" t="str">
        <f>IF(AND(SUM(I56:O56)&lt;&gt;0,B56=""),"GB??","")</f>
        <v/>
      </c>
      <c r="B56" s="1032" t="s">
        <v>384</v>
      </c>
      <c r="C56" s="1033">
        <v>50</v>
      </c>
      <c r="D56" s="1033"/>
      <c r="E56" s="1034" t="s">
        <v>408</v>
      </c>
      <c r="F56" s="159">
        <f t="shared" ref="F56:F79" si="78">SUM(I56:N56)</f>
        <v>120</v>
      </c>
      <c r="G56" s="1036">
        <v>15</v>
      </c>
      <c r="H56" s="1036">
        <v>2028</v>
      </c>
      <c r="I56" s="1037"/>
      <c r="J56" s="1038"/>
      <c r="K56" s="1039"/>
      <c r="L56" s="1039"/>
      <c r="M56" s="1039"/>
      <c r="N56" s="1041">
        <v>120</v>
      </c>
      <c r="O56" s="1042"/>
      <c r="P56" s="1057" t="str">
        <f>IF(SUM(I56:O56)&lt;&gt;0,IF(ISBLANK(G56),"ND??",""),"")</f>
        <v/>
      </c>
      <c r="Q56" s="891"/>
      <c r="R56" s="616">
        <f>IF(OR($H56&gt;I$9,I56=0),0,IF(AND(OR($H56=0,$H56=I$9),$G56&gt;0),I56/$G56,0))</f>
        <v>0</v>
      </c>
      <c r="S56" s="616">
        <f>IF(AND($H56&lt;J$9,$H56&gt;0),R56+J56/$G56,IF($H56=J$9,SUM(I56:J56)/$G56,IF(AND($G56&gt;0,$H56=0),R56+J56/$G56,0)))</f>
        <v>0</v>
      </c>
      <c r="T56" s="616">
        <f>IF(AND($H56&lt;K$9,$H56&gt;0),S56+K56/$G56,IF($H56=K$9,SUM(I56:K56)/$G56,IF(AND($G56&gt;0,$H56=0),S56+K56/$G56,0)))</f>
        <v>0</v>
      </c>
      <c r="U56" s="616">
        <f>IF(AND($H56&lt;L$9,$H56&gt;0),T56+L56/$G56,IF($H56=L$9,SUM(I56:L56)/$G56,IF(AND($G56&gt;0,$H56=0),T56+L56/$G56,0)))</f>
        <v>0</v>
      </c>
      <c r="V56" s="892">
        <f>IF(AND($H56&lt;M$9,$H56&gt;0),U56+M56/$G56,IF($H56=M$9,SUM(I56:M56)/$G56,IF(AND($G56&gt;0,$H56=0),U56+M56/$G56-IF(G56=4,R56,0),0)))</f>
        <v>0</v>
      </c>
      <c r="W56" s="1057" t="str">
        <f>IF(G56=0,"",IF(AND($H56&lt;&gt;$N$9,SUM(I56:M56)/G56&gt;V56,G56&lt;&gt;4),"Jahr?",""))</f>
        <v/>
      </c>
      <c r="X56" s="335"/>
      <c r="Y56" s="891"/>
      <c r="Z56" s="336"/>
      <c r="AA56" s="336"/>
      <c r="AB56" s="336"/>
      <c r="AC56" s="336"/>
      <c r="AD56" s="896"/>
      <c r="AE56" s="884"/>
    </row>
    <row r="57" spans="1:35" s="140" customFormat="1" outlineLevel="1">
      <c r="A57" s="1057"/>
      <c r="B57" s="1032" t="s">
        <v>384</v>
      </c>
      <c r="C57" s="1033">
        <v>50</v>
      </c>
      <c r="D57" s="1033"/>
      <c r="E57" s="1034" t="s">
        <v>409</v>
      </c>
      <c r="F57" s="160">
        <f t="shared" ref="F57" si="79">SUM(I57:N57)</f>
        <v>75</v>
      </c>
      <c r="G57" s="1036">
        <v>50</v>
      </c>
      <c r="H57" s="1036">
        <v>2023</v>
      </c>
      <c r="I57" s="1043">
        <v>75</v>
      </c>
      <c r="J57" s="1044"/>
      <c r="K57" s="1045"/>
      <c r="L57" s="1045"/>
      <c r="M57" s="1045"/>
      <c r="N57" s="1046"/>
      <c r="O57" s="1047"/>
      <c r="P57" s="1057" t="str">
        <f t="shared" ref="P57" si="80">IF(SUM(I57:O57)&lt;&gt;0,IF(ISBLANK(G57),"ND??",""),"")</f>
        <v/>
      </c>
      <c r="Q57" s="891"/>
      <c r="R57" s="616">
        <f t="shared" ref="R57" si="81">IF(OR($H57&gt;I$9,I57=0),0,IF(AND(OR($H57=0,$H57=I$9),$G57&gt;0),I57/$G57,0))</f>
        <v>0</v>
      </c>
      <c r="S57" s="616">
        <f t="shared" ref="S57" si="82">IF(AND($H57&lt;J$9,$H57&gt;0),R57+J57/$G57,IF($H57=J$9,SUM(I57:J57)/$G57,IF(AND($G57&gt;0,$H57=0),R57+J57/$G57,0)))</f>
        <v>1.5</v>
      </c>
      <c r="T57" s="616">
        <f t="shared" ref="T57" si="83">IF(AND($H57&lt;K$9,$H57&gt;0),S57+K57/$G57,IF($H57=K$9,SUM(I57:K57)/$G57,IF(AND($G57&gt;0,$H57=0),S57+K57/$G57,0)))</f>
        <v>1.5</v>
      </c>
      <c r="U57" s="616">
        <f t="shared" ref="U57" si="84">IF(AND($H57&lt;L$9,$H57&gt;0),T57+L57/$G57,IF($H57=L$9,SUM(I57:L57)/$G57,IF(AND($G57&gt;0,$H57=0),T57+L57/$G57,0)))</f>
        <v>1.5</v>
      </c>
      <c r="V57" s="892">
        <f t="shared" ref="V57" si="85">IF(AND($H57&lt;M$9,$H57&gt;0),U57+M57/$G57,IF($H57=M$9,SUM(I57:M57)/$G57,IF(AND($G57&gt;0,$H57=0),U57+M57/$G57-IF(G57=4,R57,0),0)))</f>
        <v>1.5</v>
      </c>
      <c r="W57" s="1057"/>
      <c r="X57" s="335"/>
      <c r="Y57" s="891"/>
      <c r="Z57" s="336"/>
      <c r="AA57" s="336"/>
      <c r="AB57" s="336"/>
      <c r="AC57" s="336"/>
      <c r="AD57" s="896"/>
      <c r="AE57" s="884"/>
    </row>
    <row r="58" spans="1:35" s="140" customFormat="1" outlineLevel="1">
      <c r="A58" s="1057"/>
      <c r="B58" s="1032" t="s">
        <v>384</v>
      </c>
      <c r="C58" s="1033">
        <v>50</v>
      </c>
      <c r="D58" s="1033"/>
      <c r="E58" s="1034" t="s">
        <v>430</v>
      </c>
      <c r="F58" s="160">
        <f t="shared" ref="F58" si="86">SUM(I58:N58)</f>
        <v>-25</v>
      </c>
      <c r="G58" s="1036">
        <v>50</v>
      </c>
      <c r="H58" s="1036">
        <v>2023</v>
      </c>
      <c r="I58" s="1043">
        <v>-25</v>
      </c>
      <c r="J58" s="1044"/>
      <c r="K58" s="1045"/>
      <c r="L58" s="1045"/>
      <c r="M58" s="1045"/>
      <c r="N58" s="1046"/>
      <c r="O58" s="1047"/>
      <c r="P58" s="1057" t="str">
        <f t="shared" ref="P58" si="87">IF(SUM(I58:O58)&lt;&gt;0,IF(ISBLANK(G58),"ND??",""),"")</f>
        <v/>
      </c>
      <c r="Q58" s="891"/>
      <c r="R58" s="616">
        <f t="shared" ref="R58" si="88">IF(OR($H58&gt;I$9,I58=0),0,IF(AND(OR($H58=0,$H58=I$9),$G58&gt;0),I58/$G58,0))</f>
        <v>0</v>
      </c>
      <c r="S58" s="616">
        <f t="shared" ref="S58" si="89">IF(AND($H58&lt;J$9,$H58&gt;0),R58+J58/$G58,IF($H58=J$9,SUM(I58:J58)/$G58,IF(AND($G58&gt;0,$H58=0),R58+J58/$G58,0)))</f>
        <v>-0.5</v>
      </c>
      <c r="T58" s="616">
        <f t="shared" ref="T58" si="90">IF(AND($H58&lt;K$9,$H58&gt;0),S58+K58/$G58,IF($H58=K$9,SUM(I58:K58)/$G58,IF(AND($G58&gt;0,$H58=0),S58+K58/$G58,0)))</f>
        <v>-0.5</v>
      </c>
      <c r="U58" s="616">
        <f t="shared" ref="U58" si="91">IF(AND($H58&lt;L$9,$H58&gt;0),T58+L58/$G58,IF($H58=L$9,SUM(I58:L58)/$G58,IF(AND($G58&gt;0,$H58=0),T58+L58/$G58,0)))</f>
        <v>-0.5</v>
      </c>
      <c r="V58" s="892">
        <f t="shared" ref="V58" si="92">IF(AND($H58&lt;M$9,$H58&gt;0),U58+M58/$G58,IF($H58=M$9,SUM(I58:M58)/$G58,IF(AND($G58&gt;0,$H58=0),U58+M58/$G58-IF(G58=4,R58,0),0)))</f>
        <v>-0.5</v>
      </c>
      <c r="W58" s="1057"/>
      <c r="X58" s="335"/>
      <c r="Y58" s="891"/>
      <c r="Z58" s="336"/>
      <c r="AA58" s="336"/>
      <c r="AB58" s="336"/>
      <c r="AC58" s="336"/>
      <c r="AD58" s="896"/>
      <c r="AE58" s="884"/>
    </row>
    <row r="59" spans="1:35" s="140" customFormat="1" outlineLevel="1">
      <c r="A59" s="1057"/>
      <c r="B59" s="1032" t="s">
        <v>384</v>
      </c>
      <c r="C59" s="1033">
        <v>50</v>
      </c>
      <c r="D59" s="1033"/>
      <c r="E59" s="1034" t="s">
        <v>412</v>
      </c>
      <c r="F59" s="160">
        <f t="shared" ref="F59" si="93">SUM(I59:N59)</f>
        <v>2300</v>
      </c>
      <c r="G59" s="1036">
        <v>40</v>
      </c>
      <c r="H59" s="1036">
        <v>2023</v>
      </c>
      <c r="I59" s="1043">
        <v>50</v>
      </c>
      <c r="J59" s="1044">
        <v>750</v>
      </c>
      <c r="K59" s="1045">
        <v>1500</v>
      </c>
      <c r="L59" s="1045"/>
      <c r="M59" s="1045"/>
      <c r="N59" s="1046"/>
      <c r="O59" s="1047"/>
      <c r="P59" s="1057" t="str">
        <f t="shared" ref="P59" si="94">IF(SUM(I59:O59)&lt;&gt;0,IF(ISBLANK(G59),"ND??",""),"")</f>
        <v/>
      </c>
      <c r="Q59" s="891"/>
      <c r="R59" s="616">
        <f t="shared" ref="R59" si="95">IF(OR($H59&gt;I$9,I59=0),0,IF(AND(OR($H59=0,$H59=I$9),$G59&gt;0),I59/$G59,0))</f>
        <v>0</v>
      </c>
      <c r="S59" s="616">
        <f t="shared" ref="S59" si="96">IF(AND($H59&lt;J$9,$H59&gt;0),R59+J59/$G59,IF($H59=J$9,SUM(I59:J59)/$G59,IF(AND($G59&gt;0,$H59=0),R59+J59/$G59,0)))</f>
        <v>20</v>
      </c>
      <c r="T59" s="616">
        <f t="shared" ref="T59" si="97">IF(AND($H59&lt;K$9,$H59&gt;0),S59+K59/$G59,IF($H59=K$9,SUM(I59:K59)/$G59,IF(AND($G59&gt;0,$H59=0),S59+K59/$G59,0)))</f>
        <v>57.5</v>
      </c>
      <c r="U59" s="616">
        <f t="shared" ref="U59" si="98">IF(AND($H59&lt;L$9,$H59&gt;0),T59+L59/$G59,IF($H59=L$9,SUM(I59:L59)/$G59,IF(AND($G59&gt;0,$H59=0),T59+L59/$G59,0)))</f>
        <v>57.5</v>
      </c>
      <c r="V59" s="892">
        <f t="shared" ref="V59" si="99">IF(AND($H59&lt;M$9,$H59&gt;0),U59+M59/$G59,IF($H59=M$9,SUM(I59:M59)/$G59,IF(AND($G59&gt;0,$H59=0),U59+M59/$G59-IF(G59=4,R59,0),0)))</f>
        <v>57.5</v>
      </c>
      <c r="W59" s="1057"/>
      <c r="X59" s="335"/>
      <c r="Y59" s="891"/>
      <c r="Z59" s="336"/>
      <c r="AA59" s="336"/>
      <c r="AB59" s="336"/>
      <c r="AC59" s="336"/>
      <c r="AD59" s="896"/>
      <c r="AE59" s="884"/>
    </row>
    <row r="60" spans="1:35" s="140" customFormat="1" outlineLevel="1">
      <c r="A60" s="1057" t="str">
        <f t="shared" ref="A60:A79" si="100">IF(AND(SUM(I60:O60)&lt;&gt;0,B60=""),"GB??","")</f>
        <v/>
      </c>
      <c r="B60" s="1032" t="s">
        <v>384</v>
      </c>
      <c r="C60" s="1033">
        <v>50</v>
      </c>
      <c r="D60" s="1033"/>
      <c r="E60" s="1034" t="s">
        <v>410</v>
      </c>
      <c r="F60" s="160">
        <f t="shared" si="78"/>
        <v>120</v>
      </c>
      <c r="G60" s="1036">
        <v>50</v>
      </c>
      <c r="H60" s="1036">
        <v>2024</v>
      </c>
      <c r="I60" s="1043"/>
      <c r="J60" s="1044"/>
      <c r="K60" s="1045"/>
      <c r="L60" s="1045"/>
      <c r="M60" s="1045"/>
      <c r="N60" s="1046">
        <v>120</v>
      </c>
      <c r="O60" s="1047"/>
      <c r="P60" s="1057" t="str">
        <f t="shared" ref="P60:P79" si="101">IF(SUM(I60:O60)&lt;&gt;0,IF(ISBLANK(G60),"ND??",""),"")</f>
        <v/>
      </c>
      <c r="Q60" s="891"/>
      <c r="R60" s="616">
        <f t="shared" ref="R60:R79" si="102">IF(OR($H60&gt;I$9,I60=0),0,IF(AND(OR($H60=0,$H60=I$9),$G60&gt;0),I60/$G60,0))</f>
        <v>0</v>
      </c>
      <c r="S60" s="616">
        <f t="shared" ref="S60:S79" si="103">IF(AND($H60&lt;J$9,$H60&gt;0),R60+J60/$G60,IF($H60=J$9,SUM(I60:J60)/$G60,IF(AND($G60&gt;0,$H60=0),R60+J60/$G60,0)))</f>
        <v>0</v>
      </c>
      <c r="T60" s="616">
        <f t="shared" ref="T60:T79" si="104">IF(AND($H60&lt;K$9,$H60&gt;0),S60+K60/$G60,IF($H60=K$9,SUM(I60:K60)/$G60,IF(AND($G60&gt;0,$H60=0),S60+K60/$G60,0)))</f>
        <v>0</v>
      </c>
      <c r="U60" s="616">
        <f t="shared" ref="U60:U79" si="105">IF(AND($H60&lt;L$9,$H60&gt;0),T60+L60/$G60,IF($H60=L$9,SUM(I60:L60)/$G60,IF(AND($G60&gt;0,$H60=0),T60+L60/$G60,0)))</f>
        <v>0</v>
      </c>
      <c r="V60" s="892">
        <f t="shared" ref="V60:V79" si="106">IF(AND($H60&lt;M$9,$H60&gt;0),U60+M60/$G60,IF($H60=M$9,SUM(I60:M60)/$G60,IF(AND($G60&gt;0,$H60=0),U60+M60/$G60-IF(G60=4,R60,0),0)))</f>
        <v>0</v>
      </c>
      <c r="W60" s="1057" t="str">
        <f t="shared" ref="W60:W79" si="107">IF(G60=0,"",IF(AND($H60&lt;&gt;$N$9,SUM(I60:M60)/G60&gt;V60,G60&lt;&gt;4),"Jahr?",""))</f>
        <v/>
      </c>
      <c r="X60" s="335"/>
      <c r="Y60" s="891"/>
      <c r="Z60" s="336"/>
      <c r="AA60" s="336"/>
      <c r="AB60" s="336"/>
      <c r="AC60" s="336"/>
      <c r="AD60" s="896"/>
      <c r="AE60" s="884"/>
    </row>
    <row r="61" spans="1:35" s="140" customFormat="1" outlineLevel="1">
      <c r="A61" s="1057" t="str">
        <f t="shared" si="100"/>
        <v/>
      </c>
      <c r="B61" s="1032" t="s">
        <v>384</v>
      </c>
      <c r="C61" s="1033">
        <v>50</v>
      </c>
      <c r="D61" s="1033"/>
      <c r="E61" s="1034" t="s">
        <v>411</v>
      </c>
      <c r="F61" s="160">
        <f t="shared" si="78"/>
        <v>350</v>
      </c>
      <c r="G61" s="1036">
        <v>30</v>
      </c>
      <c r="H61" s="1036">
        <v>2026</v>
      </c>
      <c r="I61" s="1043">
        <v>150</v>
      </c>
      <c r="J61" s="1044"/>
      <c r="K61" s="1045"/>
      <c r="L61" s="1045">
        <v>100</v>
      </c>
      <c r="M61" s="1045">
        <v>100</v>
      </c>
      <c r="N61" s="1046"/>
      <c r="O61" s="1047"/>
      <c r="P61" s="1057" t="str">
        <f t="shared" si="101"/>
        <v/>
      </c>
      <c r="Q61" s="877"/>
      <c r="R61" s="616">
        <f t="shared" si="102"/>
        <v>0</v>
      </c>
      <c r="S61" s="616">
        <f t="shared" si="103"/>
        <v>0</v>
      </c>
      <c r="T61" s="616">
        <f t="shared" si="104"/>
        <v>0</v>
      </c>
      <c r="U61" s="616">
        <f t="shared" si="105"/>
        <v>0</v>
      </c>
      <c r="V61" s="892">
        <f t="shared" si="106"/>
        <v>11.666666666666666</v>
      </c>
      <c r="W61" s="1057" t="str">
        <f t="shared" si="107"/>
        <v/>
      </c>
      <c r="X61" s="335"/>
      <c r="Y61" s="891"/>
      <c r="Z61" s="336"/>
      <c r="AA61" s="336"/>
      <c r="AB61" s="336"/>
      <c r="AC61" s="336"/>
      <c r="AD61" s="896"/>
      <c r="AE61" s="884"/>
    </row>
    <row r="62" spans="1:35" s="140" customFormat="1" outlineLevel="1">
      <c r="A62" s="1057"/>
      <c r="B62" s="1032" t="s">
        <v>384</v>
      </c>
      <c r="C62" s="1033">
        <v>50</v>
      </c>
      <c r="D62" s="1033"/>
      <c r="E62" s="1034" t="s">
        <v>413</v>
      </c>
      <c r="F62" s="160">
        <f t="shared" ref="F62:F67" si="108">SUM(I62:N62)</f>
        <v>950</v>
      </c>
      <c r="G62" s="1036">
        <v>30</v>
      </c>
      <c r="H62" s="1036">
        <v>2023</v>
      </c>
      <c r="I62" s="1043">
        <v>50</v>
      </c>
      <c r="J62" s="1044">
        <v>800</v>
      </c>
      <c r="K62" s="1045">
        <v>100</v>
      </c>
      <c r="L62" s="1045"/>
      <c r="M62" s="1045"/>
      <c r="N62" s="1046"/>
      <c r="O62" s="1047"/>
      <c r="P62" s="1057" t="str">
        <f t="shared" ref="P62:P67" si="109">IF(SUM(I62:O62)&lt;&gt;0,IF(ISBLANK(G62),"ND??",""),"")</f>
        <v/>
      </c>
      <c r="Q62" s="877"/>
      <c r="R62" s="616">
        <f t="shared" ref="R62:R67" si="110">IF(OR($H62&gt;I$9,I62=0),0,IF(AND(OR($H62=0,$H62=I$9),$G62&gt;0),I62/$G62,0))</f>
        <v>0</v>
      </c>
      <c r="S62" s="616">
        <f t="shared" ref="S62:S67" si="111">IF(AND($H62&lt;J$9,$H62&gt;0),R62+J62/$G62,IF($H62=J$9,SUM(I62:J62)/$G62,IF(AND($G62&gt;0,$H62=0),R62+J62/$G62,0)))</f>
        <v>28.333333333333332</v>
      </c>
      <c r="T62" s="616">
        <f t="shared" ref="T62:T67" si="112">IF(AND($H62&lt;K$9,$H62&gt;0),S62+K62/$G62,IF($H62=K$9,SUM(I62:K62)/$G62,IF(AND($G62&gt;0,$H62=0),S62+K62/$G62,0)))</f>
        <v>31.666666666666664</v>
      </c>
      <c r="U62" s="616">
        <f t="shared" ref="U62:U67" si="113">IF(AND($H62&lt;L$9,$H62&gt;0),T62+L62/$G62,IF($H62=L$9,SUM(I62:L62)/$G62,IF(AND($G62&gt;0,$H62=0),T62+L62/$G62,0)))</f>
        <v>31.666666666666664</v>
      </c>
      <c r="V62" s="892">
        <f t="shared" ref="V62:V67" si="114">IF(AND($H62&lt;M$9,$H62&gt;0),U62+M62/$G62,IF($H62=M$9,SUM(I62:M62)/$G62,IF(AND($G62&gt;0,$H62=0),U62+M62/$G62-IF(G62=4,R62,0),0)))</f>
        <v>31.666666666666664</v>
      </c>
      <c r="W62" s="1057" t="str">
        <f t="shared" si="107"/>
        <v/>
      </c>
      <c r="X62" s="335"/>
      <c r="Y62" s="891"/>
      <c r="Z62" s="336"/>
      <c r="AA62" s="336"/>
      <c r="AB62" s="336"/>
      <c r="AC62" s="336"/>
      <c r="AD62" s="896"/>
      <c r="AE62" s="884"/>
    </row>
    <row r="63" spans="1:35" s="140" customFormat="1" outlineLevel="1">
      <c r="A63" s="1057"/>
      <c r="B63" s="1032" t="s">
        <v>384</v>
      </c>
      <c r="C63" s="1033">
        <v>50</v>
      </c>
      <c r="D63" s="1033"/>
      <c r="E63" s="1034" t="s">
        <v>414</v>
      </c>
      <c r="F63" s="160">
        <f t="shared" si="108"/>
        <v>1000</v>
      </c>
      <c r="G63" s="1036">
        <v>30</v>
      </c>
      <c r="H63" s="1036">
        <v>2023</v>
      </c>
      <c r="I63" s="1043">
        <v>1000</v>
      </c>
      <c r="J63" s="1044"/>
      <c r="K63" s="1045"/>
      <c r="L63" s="1045"/>
      <c r="M63" s="1045"/>
      <c r="N63" s="1046"/>
      <c r="O63" s="1047"/>
      <c r="P63" s="1057" t="str">
        <f t="shared" si="109"/>
        <v/>
      </c>
      <c r="Q63" s="877"/>
      <c r="R63" s="616">
        <f t="shared" si="110"/>
        <v>0</v>
      </c>
      <c r="S63" s="616">
        <f t="shared" si="111"/>
        <v>33.333333333333336</v>
      </c>
      <c r="T63" s="616">
        <f t="shared" si="112"/>
        <v>33.333333333333336</v>
      </c>
      <c r="U63" s="616">
        <f t="shared" si="113"/>
        <v>33.333333333333336</v>
      </c>
      <c r="V63" s="892">
        <f t="shared" si="114"/>
        <v>33.333333333333336</v>
      </c>
      <c r="W63" s="1057"/>
      <c r="X63" s="335"/>
      <c r="Y63" s="891"/>
      <c r="Z63" s="336"/>
      <c r="AA63" s="336"/>
      <c r="AB63" s="336"/>
      <c r="AC63" s="336"/>
      <c r="AD63" s="896"/>
      <c r="AE63" s="884"/>
    </row>
    <row r="64" spans="1:35" s="140" customFormat="1" outlineLevel="1">
      <c r="A64" s="1057"/>
      <c r="B64" s="1032" t="s">
        <v>384</v>
      </c>
      <c r="C64" s="1033">
        <v>50</v>
      </c>
      <c r="D64" s="1033"/>
      <c r="E64" s="1034" t="s">
        <v>415</v>
      </c>
      <c r="F64" s="160">
        <f t="shared" si="108"/>
        <v>1900</v>
      </c>
      <c r="G64" s="1036">
        <v>30</v>
      </c>
      <c r="H64" s="1036">
        <v>2025</v>
      </c>
      <c r="I64" s="1043"/>
      <c r="J64" s="1044"/>
      <c r="K64" s="1045">
        <v>650</v>
      </c>
      <c r="L64" s="1045">
        <v>750</v>
      </c>
      <c r="M64" s="1045">
        <v>500</v>
      </c>
      <c r="N64" s="1046"/>
      <c r="O64" s="1047"/>
      <c r="P64" s="1057" t="str">
        <f t="shared" si="109"/>
        <v/>
      </c>
      <c r="Q64" s="877"/>
      <c r="R64" s="616">
        <f t="shared" si="110"/>
        <v>0</v>
      </c>
      <c r="S64" s="616">
        <f t="shared" si="111"/>
        <v>0</v>
      </c>
      <c r="T64" s="616">
        <f t="shared" si="112"/>
        <v>0</v>
      </c>
      <c r="U64" s="616">
        <f t="shared" si="113"/>
        <v>46.666666666666664</v>
      </c>
      <c r="V64" s="892">
        <f t="shared" si="114"/>
        <v>63.333333333333329</v>
      </c>
      <c r="W64" s="1057"/>
      <c r="X64" s="335"/>
      <c r="Y64" s="891"/>
      <c r="Z64" s="336"/>
      <c r="AA64" s="336"/>
      <c r="AB64" s="336"/>
      <c r="AC64" s="336"/>
      <c r="AD64" s="896"/>
      <c r="AE64" s="884"/>
    </row>
    <row r="65" spans="1:31" s="140" customFormat="1" outlineLevel="1">
      <c r="A65" s="1057"/>
      <c r="B65" s="1032" t="s">
        <v>384</v>
      </c>
      <c r="C65" s="1033">
        <v>50</v>
      </c>
      <c r="D65" s="1033"/>
      <c r="E65" s="1034" t="s">
        <v>416</v>
      </c>
      <c r="F65" s="160">
        <f t="shared" si="108"/>
        <v>60</v>
      </c>
      <c r="G65" s="1036">
        <v>30</v>
      </c>
      <c r="H65" s="1036">
        <v>2023</v>
      </c>
      <c r="I65" s="1043">
        <v>60</v>
      </c>
      <c r="J65" s="1044"/>
      <c r="K65" s="1045"/>
      <c r="L65" s="1045"/>
      <c r="M65" s="1045"/>
      <c r="N65" s="1046"/>
      <c r="O65" s="1047"/>
      <c r="P65" s="1057" t="str">
        <f t="shared" si="109"/>
        <v/>
      </c>
      <c r="Q65" s="877"/>
      <c r="R65" s="616">
        <f t="shared" si="110"/>
        <v>0</v>
      </c>
      <c r="S65" s="616">
        <f t="shared" si="111"/>
        <v>2</v>
      </c>
      <c r="T65" s="616">
        <f t="shared" si="112"/>
        <v>2</v>
      </c>
      <c r="U65" s="616">
        <f t="shared" si="113"/>
        <v>2</v>
      </c>
      <c r="V65" s="892">
        <f t="shared" si="114"/>
        <v>2</v>
      </c>
      <c r="W65" s="1057"/>
      <c r="X65" s="335"/>
      <c r="Y65" s="891"/>
      <c r="Z65" s="336"/>
      <c r="AA65" s="336"/>
      <c r="AB65" s="336"/>
      <c r="AC65" s="336"/>
      <c r="AD65" s="896"/>
      <c r="AE65" s="884"/>
    </row>
    <row r="66" spans="1:31" s="140" customFormat="1" outlineLevel="1">
      <c r="A66" s="1057"/>
      <c r="B66" s="1032" t="s">
        <v>384</v>
      </c>
      <c r="C66" s="1033">
        <v>50</v>
      </c>
      <c r="D66" s="1033"/>
      <c r="E66" s="1034" t="s">
        <v>417</v>
      </c>
      <c r="F66" s="160">
        <f t="shared" si="108"/>
        <v>340</v>
      </c>
      <c r="G66" s="1036">
        <v>30</v>
      </c>
      <c r="H66" s="1036">
        <v>2023</v>
      </c>
      <c r="I66" s="1043">
        <v>340</v>
      </c>
      <c r="J66" s="1044"/>
      <c r="K66" s="1045"/>
      <c r="L66" s="1045"/>
      <c r="M66" s="1045"/>
      <c r="N66" s="1046"/>
      <c r="O66" s="1047"/>
      <c r="P66" s="1057" t="str">
        <f t="shared" si="109"/>
        <v/>
      </c>
      <c r="Q66" s="877"/>
      <c r="R66" s="616">
        <f t="shared" si="110"/>
        <v>0</v>
      </c>
      <c r="S66" s="616">
        <f t="shared" si="111"/>
        <v>11.333333333333334</v>
      </c>
      <c r="T66" s="616">
        <f t="shared" si="112"/>
        <v>11.333333333333334</v>
      </c>
      <c r="U66" s="616">
        <f t="shared" si="113"/>
        <v>11.333333333333334</v>
      </c>
      <c r="V66" s="892">
        <f t="shared" si="114"/>
        <v>11.333333333333334</v>
      </c>
      <c r="W66" s="1057"/>
      <c r="X66" s="335"/>
      <c r="Y66" s="891"/>
      <c r="Z66" s="336"/>
      <c r="AA66" s="336"/>
      <c r="AB66" s="336"/>
      <c r="AC66" s="336"/>
      <c r="AD66" s="896"/>
      <c r="AE66" s="884"/>
    </row>
    <row r="67" spans="1:31" s="140" customFormat="1" outlineLevel="1">
      <c r="A67" s="1057"/>
      <c r="B67" s="1032" t="s">
        <v>384</v>
      </c>
      <c r="C67" s="1033">
        <v>50</v>
      </c>
      <c r="D67" s="1033"/>
      <c r="E67" s="1034" t="s">
        <v>418</v>
      </c>
      <c r="F67" s="160">
        <f t="shared" si="108"/>
        <v>600</v>
      </c>
      <c r="G67" s="1036">
        <v>50</v>
      </c>
      <c r="H67" s="1036">
        <v>2024</v>
      </c>
      <c r="I67" s="1043"/>
      <c r="J67" s="1044">
        <v>600</v>
      </c>
      <c r="K67" s="1045"/>
      <c r="L67" s="1045"/>
      <c r="M67" s="1045"/>
      <c r="N67" s="1046"/>
      <c r="O67" s="1047"/>
      <c r="P67" s="1057" t="str">
        <f t="shared" si="109"/>
        <v/>
      </c>
      <c r="Q67" s="877"/>
      <c r="R67" s="616">
        <f t="shared" si="110"/>
        <v>0</v>
      </c>
      <c r="S67" s="616">
        <f t="shared" si="111"/>
        <v>0</v>
      </c>
      <c r="T67" s="616">
        <f t="shared" si="112"/>
        <v>12</v>
      </c>
      <c r="U67" s="616">
        <f t="shared" si="113"/>
        <v>12</v>
      </c>
      <c r="V67" s="892">
        <f t="shared" si="114"/>
        <v>12</v>
      </c>
      <c r="W67" s="1057"/>
      <c r="X67" s="335"/>
      <c r="Y67" s="891"/>
      <c r="Z67" s="336"/>
      <c r="AA67" s="336"/>
      <c r="AB67" s="336"/>
      <c r="AC67" s="336"/>
      <c r="AD67" s="896"/>
      <c r="AE67" s="884"/>
    </row>
    <row r="68" spans="1:31" s="140" customFormat="1" outlineLevel="1">
      <c r="A68" s="1057"/>
      <c r="B68" s="1032" t="s">
        <v>384</v>
      </c>
      <c r="C68" s="1033">
        <v>50</v>
      </c>
      <c r="D68" s="1033"/>
      <c r="E68" s="1034" t="s">
        <v>419</v>
      </c>
      <c r="F68" s="160">
        <f t="shared" ref="F68:F70" si="115">SUM(I68:N68)</f>
        <v>150</v>
      </c>
      <c r="G68" s="1036">
        <v>30</v>
      </c>
      <c r="H68" s="1036">
        <v>2026</v>
      </c>
      <c r="I68" s="1043"/>
      <c r="J68" s="1044"/>
      <c r="K68" s="1045"/>
      <c r="L68" s="1045">
        <v>150</v>
      </c>
      <c r="M68" s="1045"/>
      <c r="N68" s="1046"/>
      <c r="O68" s="1047"/>
      <c r="P68" s="1057" t="str">
        <f t="shared" ref="P68" si="116">IF(SUM(I68:O68)&lt;&gt;0,IF(ISBLANK(G68),"ND??",""),"")</f>
        <v/>
      </c>
      <c r="Q68" s="877"/>
      <c r="R68" s="616">
        <f t="shared" ref="R68" si="117">IF(OR($H68&gt;I$9,I68=0),0,IF(AND(OR($H68=0,$H68=I$9),$G68&gt;0),I68/$G68,0))</f>
        <v>0</v>
      </c>
      <c r="S68" s="616">
        <f t="shared" ref="S68" si="118">IF(AND($H68&lt;J$9,$H68&gt;0),R68+J68/$G68,IF($H68=J$9,SUM(I68:J68)/$G68,IF(AND($G68&gt;0,$H68=0),R68+J68/$G68,0)))</f>
        <v>0</v>
      </c>
      <c r="T68" s="616">
        <f t="shared" ref="T68" si="119">IF(AND($H68&lt;K$9,$H68&gt;0),S68+K68/$G68,IF($H68=K$9,SUM(I68:K68)/$G68,IF(AND($G68&gt;0,$H68=0),S68+K68/$G68,0)))</f>
        <v>0</v>
      </c>
      <c r="U68" s="616">
        <f t="shared" ref="U68" si="120">IF(AND($H68&lt;L$9,$H68&gt;0),T68+L68/$G68,IF($H68=L$9,SUM(I68:L68)/$G68,IF(AND($G68&gt;0,$H68=0),T68+L68/$G68,0)))</f>
        <v>0</v>
      </c>
      <c r="V68" s="892">
        <f t="shared" ref="V68" si="121">IF(AND($H68&lt;M$9,$H68&gt;0),U68+M68/$G68,IF($H68=M$9,SUM(I68:M68)/$G68,IF(AND($G68&gt;0,$H68=0),U68+M68/$G68-IF(G68=4,R68,0),0)))</f>
        <v>5</v>
      </c>
      <c r="W68" s="1057"/>
      <c r="X68" s="335"/>
      <c r="Y68" s="891"/>
      <c r="Z68" s="336"/>
      <c r="AA68" s="336"/>
      <c r="AB68" s="336"/>
      <c r="AC68" s="336"/>
      <c r="AD68" s="896"/>
      <c r="AE68" s="884"/>
    </row>
    <row r="69" spans="1:31" s="140" customFormat="1" outlineLevel="1">
      <c r="A69" s="1057"/>
      <c r="B69" s="1032" t="s">
        <v>384</v>
      </c>
      <c r="C69" s="1033">
        <v>50</v>
      </c>
      <c r="D69" s="1033"/>
      <c r="E69" s="1360" t="s">
        <v>420</v>
      </c>
      <c r="F69" s="160">
        <f t="shared" si="115"/>
        <v>90</v>
      </c>
      <c r="G69" s="1361">
        <v>30</v>
      </c>
      <c r="H69" s="1361">
        <v>2023</v>
      </c>
      <c r="I69" s="1362">
        <v>90</v>
      </c>
      <c r="J69" s="1363"/>
      <c r="K69" s="1364"/>
      <c r="L69" s="1364"/>
      <c r="M69" s="1364"/>
      <c r="N69" s="1365"/>
      <c r="O69" s="1366"/>
      <c r="P69" s="1057" t="str">
        <f t="shared" ref="P69:P70" si="122">IF(SUM(I69:O69)&lt;&gt;0,IF(ISBLANK(G69),"ND??",""),"")</f>
        <v/>
      </c>
      <c r="Q69" s="877"/>
      <c r="R69" s="616">
        <f t="shared" ref="R69:R70" si="123">IF(OR($H69&gt;I$9,I69=0),0,IF(AND(OR($H69=0,$H69=I$9),$G69&gt;0),I69/$G69,0))</f>
        <v>0</v>
      </c>
      <c r="S69" s="616">
        <f t="shared" ref="S69:S70" si="124">IF(AND($H69&lt;J$9,$H69&gt;0),R69+J69/$G69,IF($H69=J$9,SUM(I69:J69)/$G69,IF(AND($G69&gt;0,$H69=0),R69+J69/$G69,0)))</f>
        <v>3</v>
      </c>
      <c r="T69" s="616">
        <f t="shared" ref="T69:T70" si="125">IF(AND($H69&lt;K$9,$H69&gt;0),S69+K69/$G69,IF($H69=K$9,SUM(I69:K69)/$G69,IF(AND($G69&gt;0,$H69=0),S69+K69/$G69,0)))</f>
        <v>3</v>
      </c>
      <c r="U69" s="616">
        <f t="shared" ref="U69:U70" si="126">IF(AND($H69&lt;L$9,$H69&gt;0),T69+L69/$G69,IF($H69=L$9,SUM(I69:L69)/$G69,IF(AND($G69&gt;0,$H69=0),T69+L69/$G69,0)))</f>
        <v>3</v>
      </c>
      <c r="V69" s="892">
        <f t="shared" ref="V69:V70" si="127">IF(AND($H69&lt;M$9,$H69&gt;0),U69+M69/$G69,IF($H69=M$9,SUM(I69:M69)/$G69,IF(AND($G69&gt;0,$H69=0),U69+M69/$G69-IF(G69=4,R69,0),0)))</f>
        <v>3</v>
      </c>
      <c r="W69" s="1057"/>
      <c r="X69" s="335"/>
      <c r="Y69" s="891"/>
      <c r="Z69" s="336"/>
      <c r="AA69" s="336"/>
      <c r="AB69" s="336"/>
      <c r="AC69" s="336"/>
      <c r="AD69" s="896"/>
      <c r="AE69" s="884"/>
    </row>
    <row r="70" spans="1:31" s="140" customFormat="1" outlineLevel="1">
      <c r="A70" s="1057"/>
      <c r="B70" s="1032" t="s">
        <v>384</v>
      </c>
      <c r="C70" s="1033">
        <v>56</v>
      </c>
      <c r="D70" s="1033"/>
      <c r="E70" s="1360" t="s">
        <v>421</v>
      </c>
      <c r="F70" s="160">
        <f t="shared" si="115"/>
        <v>910</v>
      </c>
      <c r="G70" s="1361">
        <v>30</v>
      </c>
      <c r="H70" s="1361">
        <v>2023</v>
      </c>
      <c r="I70" s="1362">
        <v>310</v>
      </c>
      <c r="J70" s="1363">
        <v>180</v>
      </c>
      <c r="K70" s="1364">
        <v>80</v>
      </c>
      <c r="L70" s="1364">
        <v>120</v>
      </c>
      <c r="M70" s="1364">
        <v>120</v>
      </c>
      <c r="N70" s="1365">
        <v>100</v>
      </c>
      <c r="O70" s="1366">
        <v>80</v>
      </c>
      <c r="P70" s="1057" t="str">
        <f t="shared" si="122"/>
        <v/>
      </c>
      <c r="Q70" s="877"/>
      <c r="R70" s="616">
        <f t="shared" si="123"/>
        <v>0</v>
      </c>
      <c r="S70" s="616">
        <f t="shared" si="124"/>
        <v>16.333333333333332</v>
      </c>
      <c r="T70" s="616">
        <f t="shared" si="125"/>
        <v>19</v>
      </c>
      <c r="U70" s="616">
        <f t="shared" si="126"/>
        <v>23</v>
      </c>
      <c r="V70" s="892">
        <f t="shared" si="127"/>
        <v>27</v>
      </c>
      <c r="W70" s="1057"/>
      <c r="X70" s="335"/>
      <c r="Y70" s="891"/>
      <c r="Z70" s="336"/>
      <c r="AA70" s="336"/>
      <c r="AB70" s="336"/>
      <c r="AC70" s="336"/>
      <c r="AD70" s="896"/>
      <c r="AE70" s="884"/>
    </row>
    <row r="71" spans="1:31" s="140" customFormat="1" outlineLevel="1">
      <c r="A71" s="1057"/>
      <c r="B71" s="1032" t="s">
        <v>384</v>
      </c>
      <c r="C71" s="1033">
        <v>56</v>
      </c>
      <c r="D71" s="1033"/>
      <c r="E71" s="1360" t="s">
        <v>422</v>
      </c>
      <c r="F71" s="160">
        <f t="shared" ref="F71:F76" si="128">SUM(I71:N71)</f>
        <v>160</v>
      </c>
      <c r="G71" s="1361">
        <v>40</v>
      </c>
      <c r="H71" s="1361">
        <v>2023</v>
      </c>
      <c r="I71" s="1362">
        <v>20</v>
      </c>
      <c r="J71" s="1363">
        <v>25</v>
      </c>
      <c r="K71" s="1364">
        <v>25</v>
      </c>
      <c r="L71" s="1364">
        <v>30</v>
      </c>
      <c r="M71" s="1364">
        <v>30</v>
      </c>
      <c r="N71" s="1365">
        <v>30</v>
      </c>
      <c r="O71" s="1366">
        <v>30</v>
      </c>
      <c r="P71" s="1057" t="str">
        <f t="shared" ref="P71:P76" si="129">IF(SUM(I71:O71)&lt;&gt;0,IF(ISBLANK(G71),"ND??",""),"")</f>
        <v/>
      </c>
      <c r="Q71" s="877"/>
      <c r="R71" s="616">
        <f t="shared" ref="R71:R76" si="130">IF(OR($H71&gt;I$9,I71=0),0,IF(AND(OR($H71=0,$H71=I$9),$G71&gt;0),I71/$G71,0))</f>
        <v>0</v>
      </c>
      <c r="S71" s="616">
        <f t="shared" ref="S71:S76" si="131">IF(AND($H71&lt;J$9,$H71&gt;0),R71+J71/$G71,IF($H71=J$9,SUM(I71:J71)/$G71,IF(AND($G71&gt;0,$H71=0),R71+J71/$G71,0)))</f>
        <v>1.125</v>
      </c>
      <c r="T71" s="616">
        <f t="shared" ref="T71:T76" si="132">IF(AND($H71&lt;K$9,$H71&gt;0),S71+K71/$G71,IF($H71=K$9,SUM(I71:K71)/$G71,IF(AND($G71&gt;0,$H71=0),S71+K71/$G71,0)))</f>
        <v>1.75</v>
      </c>
      <c r="U71" s="616">
        <f t="shared" ref="U71:U76" si="133">IF(AND($H71&lt;L$9,$H71&gt;0),T71+L71/$G71,IF($H71=L$9,SUM(I71:L71)/$G71,IF(AND($G71&gt;0,$H71=0),T71+L71/$G71,0)))</f>
        <v>2.5</v>
      </c>
      <c r="V71" s="892">
        <f t="shared" ref="V71:V76" si="134">IF(AND($H71&lt;M$9,$H71&gt;0),U71+M71/$G71,IF($H71=M$9,SUM(I71:M71)/$G71,IF(AND($G71&gt;0,$H71=0),U71+M71/$G71-IF(G71=4,R71,0),0)))</f>
        <v>3.25</v>
      </c>
      <c r="W71" s="1057"/>
      <c r="X71" s="335"/>
      <c r="Y71" s="891"/>
      <c r="Z71" s="336"/>
      <c r="AA71" s="336"/>
      <c r="AB71" s="336"/>
      <c r="AC71" s="336"/>
      <c r="AD71" s="896"/>
      <c r="AE71" s="884"/>
    </row>
    <row r="72" spans="1:31" s="140" customFormat="1" outlineLevel="1">
      <c r="A72" s="1057"/>
      <c r="B72" s="1032" t="s">
        <v>384</v>
      </c>
      <c r="C72" s="1033">
        <v>50</v>
      </c>
      <c r="D72" s="1033" t="s">
        <v>404</v>
      </c>
      <c r="E72" s="1360" t="s">
        <v>423</v>
      </c>
      <c r="F72" s="160">
        <f t="shared" si="128"/>
        <v>850</v>
      </c>
      <c r="G72" s="1361">
        <v>50</v>
      </c>
      <c r="H72" s="1361">
        <v>2023</v>
      </c>
      <c r="I72" s="1362">
        <v>80</v>
      </c>
      <c r="J72" s="1363">
        <v>160</v>
      </c>
      <c r="K72" s="1364">
        <v>190</v>
      </c>
      <c r="L72" s="1364">
        <v>220</v>
      </c>
      <c r="M72" s="1364">
        <v>100</v>
      </c>
      <c r="N72" s="1365">
        <v>100</v>
      </c>
      <c r="O72" s="1366"/>
      <c r="P72" s="1057" t="str">
        <f t="shared" si="129"/>
        <v/>
      </c>
      <c r="Q72" s="877"/>
      <c r="R72" s="616">
        <f t="shared" si="130"/>
        <v>0</v>
      </c>
      <c r="S72" s="616">
        <f t="shared" si="131"/>
        <v>4.8</v>
      </c>
      <c r="T72" s="616">
        <f t="shared" si="132"/>
        <v>8.6</v>
      </c>
      <c r="U72" s="616">
        <f t="shared" si="133"/>
        <v>13</v>
      </c>
      <c r="V72" s="892">
        <f t="shared" si="134"/>
        <v>15</v>
      </c>
      <c r="W72" s="1057"/>
      <c r="X72" s="335"/>
      <c r="Y72" s="891"/>
      <c r="Z72" s="336"/>
      <c r="AA72" s="336"/>
      <c r="AB72" s="336"/>
      <c r="AC72" s="336"/>
      <c r="AD72" s="896"/>
      <c r="AE72" s="884"/>
    </row>
    <row r="73" spans="1:31" s="140" customFormat="1" outlineLevel="1">
      <c r="A73" s="1057"/>
      <c r="B73" s="1032" t="s">
        <v>384</v>
      </c>
      <c r="C73" s="1033">
        <v>50</v>
      </c>
      <c r="D73" s="1033" t="s">
        <v>404</v>
      </c>
      <c r="E73" s="1360" t="s">
        <v>424</v>
      </c>
      <c r="F73" s="160">
        <f t="shared" si="128"/>
        <v>780</v>
      </c>
      <c r="G73" s="1361">
        <v>50</v>
      </c>
      <c r="H73" s="1361">
        <v>2025</v>
      </c>
      <c r="I73" s="1362"/>
      <c r="J73" s="1363"/>
      <c r="K73" s="1364">
        <v>80</v>
      </c>
      <c r="L73" s="1364">
        <v>200</v>
      </c>
      <c r="M73" s="1364">
        <v>300</v>
      </c>
      <c r="N73" s="1365">
        <v>200</v>
      </c>
      <c r="O73" s="1366">
        <v>500</v>
      </c>
      <c r="P73" s="1057" t="str">
        <f t="shared" si="129"/>
        <v/>
      </c>
      <c r="Q73" s="877"/>
      <c r="R73" s="616">
        <f t="shared" si="130"/>
        <v>0</v>
      </c>
      <c r="S73" s="616">
        <f t="shared" si="131"/>
        <v>0</v>
      </c>
      <c r="T73" s="616">
        <f t="shared" si="132"/>
        <v>0</v>
      </c>
      <c r="U73" s="616">
        <f t="shared" si="133"/>
        <v>5.6</v>
      </c>
      <c r="V73" s="892">
        <f t="shared" si="134"/>
        <v>11.6</v>
      </c>
      <c r="W73" s="1057"/>
      <c r="X73" s="335"/>
      <c r="Y73" s="891"/>
      <c r="Z73" s="336"/>
      <c r="AA73" s="336"/>
      <c r="AB73" s="336"/>
      <c r="AC73" s="336"/>
      <c r="AD73" s="896"/>
      <c r="AE73" s="884"/>
    </row>
    <row r="74" spans="1:31" s="140" customFormat="1" outlineLevel="1">
      <c r="A74" s="1057"/>
      <c r="B74" s="1032" t="s">
        <v>384</v>
      </c>
      <c r="C74" s="1033">
        <v>63</v>
      </c>
      <c r="D74" s="1033" t="s">
        <v>404</v>
      </c>
      <c r="E74" s="1360" t="s">
        <v>425</v>
      </c>
      <c r="F74" s="160">
        <f t="shared" si="128"/>
        <v>-680</v>
      </c>
      <c r="G74" s="1361">
        <v>50</v>
      </c>
      <c r="H74" s="1361">
        <v>2023</v>
      </c>
      <c r="I74" s="1362">
        <v>-100</v>
      </c>
      <c r="J74" s="1363">
        <v>-100</v>
      </c>
      <c r="K74" s="1364">
        <v>-100</v>
      </c>
      <c r="L74" s="1364">
        <v>-180</v>
      </c>
      <c r="M74" s="1364">
        <v>-100</v>
      </c>
      <c r="N74" s="1365">
        <v>-100</v>
      </c>
      <c r="O74" s="1366">
        <v>-100</v>
      </c>
      <c r="P74" s="1057" t="str">
        <f t="shared" si="129"/>
        <v/>
      </c>
      <c r="Q74" s="877"/>
      <c r="R74" s="616">
        <f t="shared" si="130"/>
        <v>0</v>
      </c>
      <c r="S74" s="616">
        <f t="shared" si="131"/>
        <v>-4</v>
      </c>
      <c r="T74" s="616">
        <f t="shared" si="132"/>
        <v>-6</v>
      </c>
      <c r="U74" s="616">
        <f t="shared" si="133"/>
        <v>-9.6</v>
      </c>
      <c r="V74" s="892">
        <f t="shared" si="134"/>
        <v>-11.6</v>
      </c>
      <c r="W74" s="1057"/>
      <c r="X74" s="335"/>
      <c r="Y74" s="891"/>
      <c r="Z74" s="336"/>
      <c r="AA74" s="336"/>
      <c r="AB74" s="336"/>
      <c r="AC74" s="336"/>
      <c r="AD74" s="896"/>
      <c r="AE74" s="884"/>
    </row>
    <row r="75" spans="1:31" s="140" customFormat="1" outlineLevel="1">
      <c r="A75" s="1057"/>
      <c r="B75" s="1032" t="s">
        <v>384</v>
      </c>
      <c r="C75" s="1033">
        <v>63</v>
      </c>
      <c r="D75" s="1033" t="s">
        <v>404</v>
      </c>
      <c r="E75" s="1360" t="s">
        <v>426</v>
      </c>
      <c r="F75" s="160">
        <f t="shared" si="128"/>
        <v>-670</v>
      </c>
      <c r="G75" s="1361">
        <v>50</v>
      </c>
      <c r="H75" s="1361">
        <v>2023</v>
      </c>
      <c r="I75" s="1362">
        <v>-90</v>
      </c>
      <c r="J75" s="1363">
        <v>-90</v>
      </c>
      <c r="K75" s="1364">
        <v>-90</v>
      </c>
      <c r="L75" s="1364">
        <v>-170</v>
      </c>
      <c r="M75" s="1364">
        <v>-90</v>
      </c>
      <c r="N75" s="1365">
        <v>-140</v>
      </c>
      <c r="O75" s="1366">
        <v>-90</v>
      </c>
      <c r="P75" s="1057" t="str">
        <f t="shared" si="129"/>
        <v/>
      </c>
      <c r="Q75" s="877"/>
      <c r="R75" s="616">
        <f t="shared" si="130"/>
        <v>0</v>
      </c>
      <c r="S75" s="616">
        <f t="shared" si="131"/>
        <v>-3.6</v>
      </c>
      <c r="T75" s="616">
        <f t="shared" si="132"/>
        <v>-5.4</v>
      </c>
      <c r="U75" s="616">
        <f t="shared" si="133"/>
        <v>-8.8000000000000007</v>
      </c>
      <c r="V75" s="892">
        <f t="shared" si="134"/>
        <v>-10.600000000000001</v>
      </c>
      <c r="W75" s="1057"/>
      <c r="X75" s="335"/>
      <c r="Y75" s="891"/>
      <c r="Z75" s="336"/>
      <c r="AA75" s="336"/>
      <c r="AB75" s="336"/>
      <c r="AC75" s="336"/>
      <c r="AD75" s="896"/>
      <c r="AE75" s="884"/>
    </row>
    <row r="76" spans="1:31" s="140" customFormat="1" outlineLevel="1">
      <c r="A76" s="1057"/>
      <c r="B76" s="1032" t="s">
        <v>384</v>
      </c>
      <c r="C76" s="1033">
        <v>50</v>
      </c>
      <c r="D76" s="1033"/>
      <c r="E76" s="1360" t="s">
        <v>427</v>
      </c>
      <c r="F76" s="160">
        <f t="shared" si="128"/>
        <v>80</v>
      </c>
      <c r="G76" s="1036">
        <v>50</v>
      </c>
      <c r="H76" s="1036">
        <v>2023</v>
      </c>
      <c r="I76" s="1043">
        <v>80</v>
      </c>
      <c r="J76" s="1044"/>
      <c r="K76" s="1045"/>
      <c r="L76" s="1045"/>
      <c r="M76" s="1045"/>
      <c r="N76" s="1046"/>
      <c r="O76" s="1047"/>
      <c r="P76" s="1057" t="str">
        <f t="shared" si="129"/>
        <v/>
      </c>
      <c r="Q76" s="891"/>
      <c r="R76" s="616">
        <f t="shared" si="130"/>
        <v>0</v>
      </c>
      <c r="S76" s="616">
        <f t="shared" si="131"/>
        <v>1.6</v>
      </c>
      <c r="T76" s="616">
        <f t="shared" si="132"/>
        <v>1.6</v>
      </c>
      <c r="U76" s="616">
        <f t="shared" si="133"/>
        <v>1.6</v>
      </c>
      <c r="V76" s="892">
        <f t="shared" si="134"/>
        <v>1.6</v>
      </c>
      <c r="W76" s="1057"/>
      <c r="X76" s="335"/>
      <c r="Y76" s="891"/>
      <c r="Z76" s="336"/>
      <c r="AA76" s="336"/>
      <c r="AB76" s="336"/>
      <c r="AC76" s="336"/>
      <c r="AD76" s="896"/>
      <c r="AE76" s="884"/>
    </row>
    <row r="77" spans="1:31" s="140" customFormat="1" outlineLevel="1">
      <c r="A77" s="1057"/>
      <c r="B77" s="1032" t="s">
        <v>384</v>
      </c>
      <c r="C77" s="1033">
        <v>61</v>
      </c>
      <c r="D77" s="1033"/>
      <c r="E77" s="1360" t="s">
        <v>428</v>
      </c>
      <c r="F77" s="160">
        <f t="shared" ref="F77" si="135">SUM(I77:N77)</f>
        <v>-110</v>
      </c>
      <c r="G77" s="1036">
        <v>50</v>
      </c>
      <c r="H77" s="1036">
        <v>2023</v>
      </c>
      <c r="I77" s="1043">
        <v>-110</v>
      </c>
      <c r="J77" s="1044"/>
      <c r="K77" s="1045"/>
      <c r="L77" s="1045"/>
      <c r="M77" s="1045"/>
      <c r="N77" s="1046"/>
      <c r="O77" s="1047"/>
      <c r="P77" s="1057" t="str">
        <f t="shared" ref="P77" si="136">IF(SUM(I77:O77)&lt;&gt;0,IF(ISBLANK(G77),"ND??",""),"")</f>
        <v/>
      </c>
      <c r="Q77" s="891"/>
      <c r="R77" s="616">
        <f t="shared" ref="R77" si="137">IF(OR($H77&gt;I$9,I77=0),0,IF(AND(OR($H77=0,$H77=I$9),$G77&gt;0),I77/$G77,0))</f>
        <v>0</v>
      </c>
      <c r="S77" s="616">
        <f t="shared" ref="S77" si="138">IF(AND($H77&lt;J$9,$H77&gt;0),R77+J77/$G77,IF($H77=J$9,SUM(I77:J77)/$G77,IF(AND($G77&gt;0,$H77=0),R77+J77/$G77,0)))</f>
        <v>-2.2000000000000002</v>
      </c>
      <c r="T77" s="616">
        <f t="shared" ref="T77" si="139">IF(AND($H77&lt;K$9,$H77&gt;0),S77+K77/$G77,IF($H77=K$9,SUM(I77:K77)/$G77,IF(AND($G77&gt;0,$H77=0),S77+K77/$G77,0)))</f>
        <v>-2.2000000000000002</v>
      </c>
      <c r="U77" s="616">
        <f t="shared" ref="U77" si="140">IF(AND($H77&lt;L$9,$H77&gt;0),T77+L77/$G77,IF($H77=L$9,SUM(I77:L77)/$G77,IF(AND($G77&gt;0,$H77=0),T77+L77/$G77,0)))</f>
        <v>-2.2000000000000002</v>
      </c>
      <c r="V77" s="892">
        <f t="shared" ref="V77" si="141">IF(AND($H77&lt;M$9,$H77&gt;0),U77+M77/$G77,IF($H77=M$9,SUM(I77:M77)/$G77,IF(AND($G77&gt;0,$H77=0),U77+M77/$G77-IF(G77=4,R77,0),0)))</f>
        <v>-2.2000000000000002</v>
      </c>
      <c r="W77" s="1057"/>
      <c r="X77" s="335"/>
      <c r="Y77" s="891"/>
      <c r="Z77" s="336"/>
      <c r="AA77" s="336"/>
      <c r="AB77" s="336"/>
      <c r="AC77" s="336"/>
      <c r="AD77" s="896"/>
      <c r="AE77" s="884"/>
    </row>
    <row r="78" spans="1:31" s="140" customFormat="1" outlineLevel="1">
      <c r="A78" s="1057" t="str">
        <f t="shared" si="100"/>
        <v/>
      </c>
      <c r="B78" s="1032" t="s">
        <v>384</v>
      </c>
      <c r="C78" s="1033">
        <v>52</v>
      </c>
      <c r="D78" s="1033"/>
      <c r="E78" s="1360" t="s">
        <v>431</v>
      </c>
      <c r="F78" s="160">
        <f t="shared" si="78"/>
        <v>80</v>
      </c>
      <c r="G78" s="1036">
        <v>10</v>
      </c>
      <c r="H78" s="1036">
        <v>2023</v>
      </c>
      <c r="I78" s="1043">
        <v>80</v>
      </c>
      <c r="J78" s="1044"/>
      <c r="K78" s="1045"/>
      <c r="L78" s="1045"/>
      <c r="M78" s="1045"/>
      <c r="N78" s="1046"/>
      <c r="O78" s="1047"/>
      <c r="P78" s="1057" t="str">
        <f t="shared" si="101"/>
        <v/>
      </c>
      <c r="Q78" s="891"/>
      <c r="R78" s="616">
        <f t="shared" si="102"/>
        <v>0</v>
      </c>
      <c r="S78" s="616">
        <f t="shared" si="103"/>
        <v>8</v>
      </c>
      <c r="T78" s="616">
        <f t="shared" si="104"/>
        <v>8</v>
      </c>
      <c r="U78" s="616">
        <f t="shared" si="105"/>
        <v>8</v>
      </c>
      <c r="V78" s="892">
        <f t="shared" si="106"/>
        <v>8</v>
      </c>
      <c r="W78" s="1057" t="str">
        <f t="shared" si="107"/>
        <v/>
      </c>
      <c r="X78" s="335"/>
      <c r="Y78" s="891"/>
      <c r="Z78" s="336"/>
      <c r="AA78" s="336"/>
      <c r="AB78" s="336"/>
      <c r="AC78" s="336"/>
      <c r="AD78" s="896"/>
      <c r="AE78" s="884"/>
    </row>
    <row r="79" spans="1:31" s="140" customFormat="1" outlineLevel="1">
      <c r="A79" s="1057" t="str">
        <f t="shared" si="100"/>
        <v/>
      </c>
      <c r="B79" s="1032"/>
      <c r="C79" s="1033"/>
      <c r="D79" s="1033"/>
      <c r="E79" s="1034"/>
      <c r="F79" s="160">
        <f t="shared" si="78"/>
        <v>0</v>
      </c>
      <c r="G79" s="1036"/>
      <c r="H79" s="1036"/>
      <c r="I79" s="1043"/>
      <c r="J79" s="1044"/>
      <c r="K79" s="1045"/>
      <c r="L79" s="1045"/>
      <c r="M79" s="1045"/>
      <c r="N79" s="1046"/>
      <c r="O79" s="1047"/>
      <c r="P79" s="1057" t="str">
        <f t="shared" si="101"/>
        <v/>
      </c>
      <c r="Q79" s="891"/>
      <c r="R79" s="616">
        <f t="shared" si="102"/>
        <v>0</v>
      </c>
      <c r="S79" s="616">
        <f t="shared" si="103"/>
        <v>0</v>
      </c>
      <c r="T79" s="616">
        <f t="shared" si="104"/>
        <v>0</v>
      </c>
      <c r="U79" s="616">
        <f t="shared" si="105"/>
        <v>0</v>
      </c>
      <c r="V79" s="892">
        <f t="shared" si="106"/>
        <v>0</v>
      </c>
      <c r="W79" s="1057" t="str">
        <f t="shared" si="107"/>
        <v/>
      </c>
      <c r="X79" s="335"/>
      <c r="Y79" s="891"/>
      <c r="Z79" s="336"/>
      <c r="AA79" s="336"/>
      <c r="AB79" s="336"/>
      <c r="AC79" s="336"/>
      <c r="AD79" s="896"/>
      <c r="AE79" s="884"/>
    </row>
    <row r="80" spans="1:31" s="140" customFormat="1">
      <c r="A80" s="1053"/>
      <c r="B80" s="139"/>
      <c r="C80" s="622"/>
      <c r="D80" s="622"/>
      <c r="F80" s="141"/>
      <c r="G80" s="142"/>
      <c r="H80" s="142"/>
      <c r="I80" s="874"/>
      <c r="J80" s="143"/>
      <c r="K80" s="144"/>
      <c r="L80" s="144"/>
      <c r="M80" s="144"/>
      <c r="N80" s="879"/>
      <c r="O80" s="879"/>
      <c r="P80" s="1059"/>
      <c r="Q80" s="890"/>
      <c r="R80" s="143"/>
      <c r="S80" s="144"/>
      <c r="T80" s="144"/>
      <c r="U80" s="144"/>
      <c r="V80" s="879"/>
      <c r="W80" s="1064"/>
      <c r="X80" s="335"/>
      <c r="Y80" s="891"/>
      <c r="Z80" s="336"/>
      <c r="AA80" s="336"/>
      <c r="AB80" s="336"/>
      <c r="AC80" s="336"/>
      <c r="AD80" s="896"/>
      <c r="AE80" s="884"/>
    </row>
    <row r="81" spans="1:35" s="259" customFormat="1">
      <c r="A81" s="1056"/>
      <c r="B81" s="236"/>
      <c r="C81" s="623"/>
      <c r="D81" s="623"/>
      <c r="E81" s="233" t="str">
        <f>TEXT('F0a Konfiguration'!C16,0)&amp;" "&amp;TEXT('F0a Konfiguration'!E16,0)</f>
        <v>AB6 Finanzen, Steuern und Abgaben</v>
      </c>
      <c r="F81" s="145">
        <f>SUM(I81:N81)</f>
        <v>0</v>
      </c>
      <c r="G81" s="146"/>
      <c r="H81" s="146"/>
      <c r="I81" s="877">
        <f t="shared" ref="I81:O81" si="142">SUM(I84:I85)</f>
        <v>0</v>
      </c>
      <c r="J81" s="147">
        <f t="shared" si="142"/>
        <v>0</v>
      </c>
      <c r="K81" s="147">
        <f t="shared" si="142"/>
        <v>0</v>
      </c>
      <c r="L81" s="147">
        <f t="shared" si="142"/>
        <v>0</v>
      </c>
      <c r="M81" s="147">
        <f t="shared" si="142"/>
        <v>0</v>
      </c>
      <c r="N81" s="882">
        <f t="shared" si="142"/>
        <v>0</v>
      </c>
      <c r="O81" s="882">
        <f t="shared" si="142"/>
        <v>0</v>
      </c>
      <c r="P81" s="1061"/>
      <c r="Q81" s="891">
        <f t="shared" ref="Q81:V81" si="143">SUM(Q82:Q85)</f>
        <v>0</v>
      </c>
      <c r="R81" s="147">
        <f t="shared" si="143"/>
        <v>0</v>
      </c>
      <c r="S81" s="147">
        <f t="shared" si="143"/>
        <v>0</v>
      </c>
      <c r="T81" s="147">
        <f t="shared" si="143"/>
        <v>0</v>
      </c>
      <c r="U81" s="147">
        <f t="shared" si="143"/>
        <v>0</v>
      </c>
      <c r="V81" s="882">
        <f t="shared" si="143"/>
        <v>0</v>
      </c>
      <c r="W81" s="1067"/>
      <c r="X81" s="337">
        <f>'F1a Ausgangsbilanz'!N80</f>
        <v>0</v>
      </c>
      <c r="Y81" s="895">
        <f>X81+I81-Q81</f>
        <v>0</v>
      </c>
      <c r="Z81" s="338">
        <f>Y81+J81-R81</f>
        <v>0</v>
      </c>
      <c r="AA81" s="338">
        <f t="shared" ref="AA81" si="144">Z81+K81-S81</f>
        <v>0</v>
      </c>
      <c r="AB81" s="338">
        <f t="shared" ref="AB81" si="145">AA81+L81-T81</f>
        <v>0</v>
      </c>
      <c r="AC81" s="338">
        <f t="shared" ref="AC81" si="146">AB81+M81-U81</f>
        <v>0</v>
      </c>
      <c r="AD81" s="899">
        <f t="shared" ref="AD81" si="147">AC81+N81-V81</f>
        <v>0</v>
      </c>
      <c r="AE81" s="884" t="s">
        <v>215</v>
      </c>
      <c r="AF81" s="140"/>
      <c r="AG81" s="140"/>
      <c r="AH81" s="140"/>
      <c r="AI81" s="140"/>
    </row>
    <row r="82" spans="1:35" s="259" customFormat="1" outlineLevel="1">
      <c r="A82" s="1056"/>
      <c r="B82" s="234"/>
      <c r="C82" s="623"/>
      <c r="D82" s="623"/>
      <c r="E82" s="205" t="str">
        <f>"Fortschreibung Abschreibungen aus Budget "&amp;TEXT(Budget2,0)</f>
        <v>Fortschreibung Abschreibungen aus Budget 2022</v>
      </c>
      <c r="F82" s="145"/>
      <c r="G82" s="146"/>
      <c r="H82" s="146"/>
      <c r="I82" s="877"/>
      <c r="J82" s="147"/>
      <c r="K82" s="147"/>
      <c r="L82" s="147"/>
      <c r="M82" s="147"/>
      <c r="N82" s="882"/>
      <c r="O82" s="882"/>
      <c r="P82" s="1059"/>
      <c r="Q82" s="891">
        <f>'F1c Budget Neu'!N14</f>
        <v>0</v>
      </c>
      <c r="R82" s="1281">
        <f>Q82</f>
        <v>0</v>
      </c>
      <c r="S82" s="1281">
        <f>R82</f>
        <v>0</v>
      </c>
      <c r="T82" s="1281">
        <f>S82</f>
        <v>0</v>
      </c>
      <c r="U82" s="1281">
        <f>T82</f>
        <v>0</v>
      </c>
      <c r="V82" s="1282">
        <f>U82</f>
        <v>0</v>
      </c>
      <c r="W82" s="1067"/>
      <c r="X82" s="335"/>
      <c r="Y82" s="891"/>
      <c r="Z82" s="336"/>
      <c r="AA82" s="336"/>
      <c r="AB82" s="336"/>
      <c r="AC82" s="336"/>
      <c r="AD82" s="896"/>
      <c r="AE82" s="884" t="s">
        <v>216</v>
      </c>
    </row>
    <row r="83" spans="1:35" s="259" customFormat="1" ht="22.5" outlineLevel="1">
      <c r="A83" s="1056"/>
      <c r="B83" s="234"/>
      <c r="C83" s="623"/>
      <c r="D83" s="623"/>
      <c r="E83" s="205" t="str">
        <f>"Wegfallende (-) / Zusätzl. (+) Abschr. geg. Budget "&amp;TEXT(Budget2,0)</f>
        <v>Wegfallende (-) / Zusätzl. (+) Abschr. geg. Budget 2022</v>
      </c>
      <c r="F83" s="145"/>
      <c r="G83" s="146"/>
      <c r="H83" s="146"/>
      <c r="I83" s="877"/>
      <c r="J83" s="147"/>
      <c r="K83" s="147"/>
      <c r="L83" s="147"/>
      <c r="M83" s="147"/>
      <c r="N83" s="882"/>
      <c r="O83" s="882"/>
      <c r="P83" s="1059"/>
      <c r="Q83" s="891"/>
      <c r="R83" s="1048"/>
      <c r="S83" s="1048"/>
      <c r="T83" s="1048"/>
      <c r="U83" s="1048"/>
      <c r="V83" s="1049"/>
      <c r="W83" s="1067"/>
      <c r="X83" s="335"/>
      <c r="Y83" s="891"/>
      <c r="Z83" s="336"/>
      <c r="AA83" s="336"/>
      <c r="AB83" s="336"/>
      <c r="AC83" s="336"/>
      <c r="AD83" s="896"/>
      <c r="AE83" s="884" t="s">
        <v>216</v>
      </c>
    </row>
    <row r="84" spans="1:35" s="140" customFormat="1" outlineLevel="1">
      <c r="A84" s="1057" t="str">
        <f>IF(AND(SUM(I84:O84)&lt;&gt;0,B84=""),"GB??","")</f>
        <v/>
      </c>
      <c r="B84" s="1032"/>
      <c r="C84" s="1033"/>
      <c r="D84" s="1033"/>
      <c r="E84" s="1035"/>
      <c r="F84" s="159">
        <f t="shared" ref="F84:F85" si="148">SUM(I84:N84)</f>
        <v>0</v>
      </c>
      <c r="G84" s="1036"/>
      <c r="H84" s="1036"/>
      <c r="I84" s="1037"/>
      <c r="J84" s="1038"/>
      <c r="K84" s="1039"/>
      <c r="L84" s="1039"/>
      <c r="M84" s="1039"/>
      <c r="N84" s="1041"/>
      <c r="O84" s="1042"/>
      <c r="P84" s="1057" t="str">
        <f>IF(SUM(I84:O84)&lt;&gt;0,IF(ISBLANK(G84),"ND??",""),"")</f>
        <v/>
      </c>
      <c r="Q84" s="891"/>
      <c r="R84" s="616">
        <f>IF(OR($H84&gt;I$9,I84=0),0,IF(AND(OR($H84=0,$H84=I$9),$G84&gt;0),I84/$G84,0))</f>
        <v>0</v>
      </c>
      <c r="S84" s="616">
        <f>IF(AND($H84&lt;J$9,$H84&gt;0),R84+J84/$G84,IF($H84=J$9,SUM(I84:J84)/$G84,IF(AND($G84&gt;0,$H84=0),R84+J84/$G84,0)))</f>
        <v>0</v>
      </c>
      <c r="T84" s="616">
        <f>IF(AND($H84&lt;K$9,$H84&gt;0),S84+K84/$G84,IF($H84=K$9,SUM(I84:K84)/$G84,IF(AND($G84&gt;0,$H84=0),S84+K84/$G84,0)))</f>
        <v>0</v>
      </c>
      <c r="U84" s="616">
        <f>IF(AND($H84&lt;L$9,$H84&gt;0),T84+L84/$G84,IF($H84=L$9,SUM(I84:L84)/$G84,IF(AND($G84&gt;0,$H84=0),T84+L84/$G84,0)))</f>
        <v>0</v>
      </c>
      <c r="V84" s="892">
        <f>IF(AND($H84&lt;M$9,$H84&gt;0),U84+M84/$G84,IF($H84=M$9,SUM(I84:M84)/$G84,IF(AND($G84&gt;0,$H84=0),U84+M84/$G84-IF(G84=4,R84,0),0)))</f>
        <v>0</v>
      </c>
      <c r="W84" s="1057" t="str">
        <f>IF(G84=0,"",IF(AND($H84&lt;&gt;$N$9,SUM(I84:M84)/G84&gt;V84,G84&lt;&gt;4),"Jahr?",""))</f>
        <v/>
      </c>
      <c r="X84" s="335"/>
      <c r="Y84" s="891"/>
      <c r="Z84" s="336"/>
      <c r="AA84" s="336"/>
      <c r="AB84" s="336"/>
      <c r="AC84" s="336"/>
      <c r="AD84" s="896"/>
      <c r="AE84" s="884"/>
    </row>
    <row r="85" spans="1:35" s="140" customFormat="1" outlineLevel="1">
      <c r="A85" s="1057" t="str">
        <f t="shared" ref="A85" si="149">IF(AND(SUM(I85:O85)&lt;&gt;0,B85=""),"GB??","")</f>
        <v/>
      </c>
      <c r="B85" s="1032"/>
      <c r="C85" s="1033"/>
      <c r="D85" s="1033"/>
      <c r="E85" s="1035"/>
      <c r="F85" s="160">
        <f t="shared" si="148"/>
        <v>0</v>
      </c>
      <c r="G85" s="1036"/>
      <c r="H85" s="1036"/>
      <c r="I85" s="1043"/>
      <c r="J85" s="1044"/>
      <c r="K85" s="1045"/>
      <c r="L85" s="1045"/>
      <c r="M85" s="1045"/>
      <c r="N85" s="1046"/>
      <c r="O85" s="1047"/>
      <c r="P85" s="1057" t="str">
        <f t="shared" ref="P85" si="150">IF(SUM(I85:O85)&lt;&gt;0,IF(ISBLANK(G85),"ND??",""),"")</f>
        <v/>
      </c>
      <c r="Q85" s="890"/>
      <c r="R85" s="616">
        <f t="shared" ref="R85" si="151">IF(OR($H85&gt;I$9,I85=0),0,IF(AND(OR($H85=0,$H85=I$9),$G85&gt;0),I85/$G85,0))</f>
        <v>0</v>
      </c>
      <c r="S85" s="616">
        <f t="shared" ref="S85" si="152">IF(AND($H85&lt;J$9,$H85&gt;0),R85+J85/$G85,IF($H85=J$9,SUM(I85:J85)/$G85,IF(AND($G85&gt;0,$H85=0),R85+J85/$G85,0)))</f>
        <v>0</v>
      </c>
      <c r="T85" s="616">
        <f t="shared" ref="T85" si="153">IF(AND($H85&lt;K$9,$H85&gt;0),S85+K85/$G85,IF($H85=K$9,SUM(I85:K85)/$G85,IF(AND($G85&gt;0,$H85=0),S85+K85/$G85,0)))</f>
        <v>0</v>
      </c>
      <c r="U85" s="616">
        <f t="shared" ref="U85" si="154">IF(AND($H85&lt;L$9,$H85&gt;0),T85+L85/$G85,IF($H85=L$9,SUM(I85:L85)/$G85,IF(AND($G85&gt;0,$H85=0),T85+L85/$G85,0)))</f>
        <v>0</v>
      </c>
      <c r="V85" s="892">
        <f t="shared" ref="V85" si="155">IF(AND($H85&lt;M$9,$H85&gt;0),U85+M85/$G85,IF($H85=M$9,SUM(I85:M85)/$G85,IF(AND($G85&gt;0,$H85=0),U85+M85/$G85-IF(G85=4,R85,0),0)))</f>
        <v>0</v>
      </c>
      <c r="W85" s="1057" t="str">
        <f t="shared" ref="W85" si="156">IF(G85=0,"",IF(AND($H85&lt;&gt;$N$9,SUM(I85:M85)/G85&gt;V85,G85&lt;&gt;4),"Jahr?",""))</f>
        <v/>
      </c>
      <c r="X85" s="335"/>
      <c r="Y85" s="891"/>
      <c r="Z85" s="336"/>
      <c r="AA85" s="336"/>
      <c r="AB85" s="336"/>
      <c r="AC85" s="336"/>
      <c r="AD85" s="896"/>
      <c r="AE85" s="884"/>
    </row>
    <row r="86" spans="1:35" s="140" customFormat="1">
      <c r="A86" s="1053"/>
      <c r="B86" s="235"/>
      <c r="C86" s="622"/>
      <c r="D86" s="622"/>
      <c r="F86" s="141"/>
      <c r="G86" s="142"/>
      <c r="H86" s="142"/>
      <c r="I86" s="874"/>
      <c r="J86" s="143"/>
      <c r="K86" s="144"/>
      <c r="L86" s="144"/>
      <c r="M86" s="144"/>
      <c r="N86" s="879"/>
      <c r="O86" s="879"/>
      <c r="P86" s="1059"/>
      <c r="Q86" s="891"/>
      <c r="R86" s="143"/>
      <c r="S86" s="144"/>
      <c r="T86" s="144"/>
      <c r="U86" s="144"/>
      <c r="V86" s="879"/>
      <c r="W86" s="1064"/>
      <c r="X86" s="335"/>
      <c r="Y86" s="891"/>
      <c r="Z86" s="336"/>
      <c r="AA86" s="336"/>
      <c r="AB86" s="336"/>
      <c r="AC86" s="336"/>
      <c r="AD86" s="896"/>
      <c r="AE86" s="884"/>
    </row>
  </sheetData>
  <mergeCells count="1">
    <mergeCell ref="F7:F9"/>
  </mergeCells>
  <phoneticPr fontId="2" type="noConversion"/>
  <pageMargins left="0.59055118110236227" right="0.59055118110236227" top="0.59055118110236227" bottom="0.59055118110236227" header="0.43307086614173229" footer="0.43307086614173229"/>
  <pageSetup paperSize="8" scale="105" pageOrder="overThenDown" orientation="portrait" r:id="rId1"/>
  <headerFooter>
    <oddFooter>&amp;L&amp;8&amp;K000000© Legrafin                 &amp;D / &amp;T&amp;C&amp;8&amp;K000000Seite  &amp;P&amp;R&amp;8&amp;K000000&amp;F</oddFooter>
  </headerFooter>
  <colBreaks count="3" manualBreakCount="3">
    <brk id="15" max="1048575" man="1"/>
    <brk id="23" max="1048575" man="1"/>
    <brk id="31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66D083D-BEA5-6C4E-9767-D19569AE4B3B}">
          <x14:formula1>
            <xm:f>'Listen für Dropdown'!$A$56:$A$74</xm:f>
          </x14:formula1>
          <xm:sqref>C20:C25 C30:C36 C41:C43 C84:C85 C48:C51 C56:C79</xm:sqref>
        </x14:dataValidation>
        <x14:dataValidation type="list" allowBlank="1" showInputMessage="1" showErrorMessage="1" xr:uid="{428E9457-ACEB-FA4D-A759-2801AF4D42BA}">
          <x14:formula1>
            <xm:f>'Listen für Dropdown'!$A$79:$A$93</xm:f>
          </x14:formula1>
          <xm:sqref>G20:G25 G30:G36 G41:G43 G84:G85 G48:G51 G56:G79</xm:sqref>
        </x14:dataValidation>
        <x14:dataValidation type="list" allowBlank="1" showInputMessage="1" showErrorMessage="1" xr:uid="{5BD039BB-6061-B940-A441-12421F391F94}">
          <x14:formula1>
            <xm:f>'F0a Konfiguration'!$C$11:$C$20</xm:f>
          </x14:formula1>
          <xm:sqref>B20:B25 B30:B36 B41:B43 B84:B85 B48:B51 B56:B79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01F92-ECA8-204E-A594-0140D55C7E21}">
  <sheetPr>
    <outlinePr summaryBelow="0"/>
    <pageSetUpPr fitToPage="1"/>
  </sheetPr>
  <dimension ref="A1:M293"/>
  <sheetViews>
    <sheetView topLeftCell="D1" zoomScale="120" zoomScaleNormal="120" workbookViewId="0">
      <pane ySplit="10" topLeftCell="A11" activePane="bottomLeft" state="frozenSplit"/>
      <selection pane="bottomLeft" activeCell="D11" sqref="D11"/>
    </sheetView>
  </sheetViews>
  <sheetFormatPr baseColWidth="10" defaultColWidth="11.42578125" defaultRowHeight="11.25"/>
  <cols>
    <col min="1" max="1" width="0.85546875" style="86" customWidth="1"/>
    <col min="2" max="2" width="3.85546875" style="86" customWidth="1"/>
    <col min="3" max="3" width="38.28515625" style="101" customWidth="1"/>
    <col min="4" max="12" width="6.28515625" style="86" customWidth="1"/>
    <col min="13" max="15" width="0.85546875" style="86" customWidth="1"/>
    <col min="16" max="16384" width="11.42578125" style="86"/>
  </cols>
  <sheetData>
    <row r="1" spans="1:13" s="80" customFormat="1" ht="12">
      <c r="B1" s="1207" t="str">
        <f>"Aufgaben- und Finanzplan "&amp;TEXT(Budget2,0)&amp;" - "&amp;TEXT(Finz1+4,0)</f>
        <v>Aufgaben- und Finanzplan 2022 - 2027</v>
      </c>
      <c r="C1" s="694"/>
      <c r="J1" s="79" t="str">
        <f>"Gemeinde "&amp;TEXT(Gemeinde,0)</f>
        <v>Gemeinde Menznau</v>
      </c>
      <c r="M1" s="79"/>
    </row>
    <row r="3" spans="1:13" s="82" customFormat="1">
      <c r="B3" s="84" t="s">
        <v>334</v>
      </c>
      <c r="C3" s="1205"/>
      <c r="J3" s="83" t="s">
        <v>2</v>
      </c>
    </row>
    <row r="5" spans="1:13">
      <c r="B5" s="101" t="s">
        <v>344</v>
      </c>
    </row>
    <row r="6" spans="1:13" s="85" customFormat="1">
      <c r="A6" s="86"/>
      <c r="B6" s="86"/>
      <c r="C6" s="1209"/>
      <c r="K6" s="102"/>
      <c r="L6" s="86"/>
    </row>
    <row r="7" spans="1:13" s="107" customFormat="1" ht="15.75" customHeight="1">
      <c r="A7" s="86"/>
      <c r="B7" s="1215"/>
      <c r="C7" s="104"/>
      <c r="D7" s="634"/>
      <c r="E7" s="634"/>
      <c r="F7" s="105"/>
      <c r="G7" s="105"/>
      <c r="H7" s="105"/>
      <c r="I7" s="105"/>
      <c r="J7" s="632"/>
      <c r="K7" s="102"/>
      <c r="L7" s="86"/>
    </row>
    <row r="8" spans="1:13" s="107" customFormat="1" ht="15.75" customHeight="1">
      <c r="A8" s="86"/>
      <c r="B8" s="1216" t="s">
        <v>345</v>
      </c>
      <c r="C8" s="1204" t="s">
        <v>225</v>
      </c>
      <c r="D8" s="1211" t="s">
        <v>335</v>
      </c>
      <c r="E8" s="1206" t="s">
        <v>26</v>
      </c>
      <c r="J8" s="1029"/>
      <c r="K8" s="102"/>
      <c r="L8" s="86"/>
    </row>
    <row r="9" spans="1:13" s="107" customFormat="1" ht="15.75" customHeight="1">
      <c r="A9" s="86"/>
      <c r="B9" s="1210"/>
      <c r="C9" s="1206"/>
      <c r="D9" s="109">
        <f>Budget2</f>
        <v>2022</v>
      </c>
      <c r="E9" s="109">
        <f>Finz1</f>
        <v>2023</v>
      </c>
      <c r="F9" s="110">
        <f>E9+1</f>
        <v>2024</v>
      </c>
      <c r="G9" s="110">
        <f>F9+1</f>
        <v>2025</v>
      </c>
      <c r="H9" s="110">
        <f t="shared" ref="H9:I9" si="0">G9+1</f>
        <v>2026</v>
      </c>
      <c r="I9" s="1212">
        <f t="shared" si="0"/>
        <v>2027</v>
      </c>
      <c r="J9" s="407" t="s">
        <v>38</v>
      </c>
      <c r="K9" s="102"/>
      <c r="L9" s="86"/>
    </row>
    <row r="10" spans="1:13" s="107" customFormat="1" ht="6.95" customHeight="1">
      <c r="A10" s="86"/>
      <c r="B10" s="1221"/>
      <c r="C10" s="1203"/>
      <c r="D10" s="112"/>
      <c r="E10" s="112"/>
      <c r="F10" s="114"/>
      <c r="G10" s="114"/>
      <c r="H10" s="114"/>
      <c r="I10" s="114"/>
      <c r="J10" s="115"/>
      <c r="K10" s="102"/>
      <c r="L10" s="86"/>
    </row>
    <row r="11" spans="1:13" s="1208" customFormat="1">
      <c r="A11" s="120"/>
      <c r="B11" s="1244">
        <v>50</v>
      </c>
      <c r="C11" s="1234" t="s">
        <v>108</v>
      </c>
      <c r="D11" s="1214">
        <f>SUMIF('F4 Investitionsplanung VV'!$C$20:$C$86,$B11,'F4 Investitionsplanung VV'!I$20:I$86)</f>
        <v>2705</v>
      </c>
      <c r="E11" s="1214">
        <f>SUMIF('F4 Investitionsplanung VV'!$C$20:$C$86,$B11,'F4 Investitionsplanung VV'!J$20:J$86)</f>
        <v>3430</v>
      </c>
      <c r="F11" s="1214">
        <f>SUMIF('F4 Investitionsplanung VV'!$C$20:$C$86,$B11,'F4 Investitionsplanung VV'!K$20:K$86)</f>
        <v>3530</v>
      </c>
      <c r="G11" s="1214">
        <f>SUMIF('F4 Investitionsplanung VV'!$C$20:$C$86,$B11,'F4 Investitionsplanung VV'!L$20:L$86)</f>
        <v>3050</v>
      </c>
      <c r="H11" s="1214">
        <f>SUMIF('F4 Investitionsplanung VV'!$C$20:$C$86,$B11,'F4 Investitionsplanung VV'!M$20:M$86)</f>
        <v>1920</v>
      </c>
      <c r="I11" s="1214">
        <f>SUMIF('F4 Investitionsplanung VV'!$C$20:$C$86,$B11,'F4 Investitionsplanung VV'!N$20:N$86)</f>
        <v>1370</v>
      </c>
      <c r="J11" s="1214">
        <f>SUM(D11:I11)</f>
        <v>16005</v>
      </c>
      <c r="K11" s="102"/>
      <c r="L11" s="86"/>
    </row>
    <row r="12" spans="1:13" s="1208" customFormat="1">
      <c r="A12" s="120"/>
      <c r="B12" s="1244">
        <v>51</v>
      </c>
      <c r="C12" s="1234" t="s">
        <v>167</v>
      </c>
      <c r="D12" s="1214">
        <f>SUMIF('F4 Investitionsplanung VV'!$C$20:$C$86,$B12,'F4 Investitionsplanung VV'!I$20:I$86)</f>
        <v>0</v>
      </c>
      <c r="E12" s="1214">
        <f>SUMIF('F4 Investitionsplanung VV'!$C$20:$C$86,$B12,'F4 Investitionsplanung VV'!J$20:J$86)</f>
        <v>0</v>
      </c>
      <c r="F12" s="1214">
        <f>SUMIF('F4 Investitionsplanung VV'!$C$20:$C$86,$B12,'F4 Investitionsplanung VV'!K$20:K$86)</f>
        <v>0</v>
      </c>
      <c r="G12" s="1214">
        <f>SUMIF('F4 Investitionsplanung VV'!$C$20:$C$86,$B12,'F4 Investitionsplanung VV'!L$20:L$86)</f>
        <v>0</v>
      </c>
      <c r="H12" s="1214">
        <f>SUMIF('F4 Investitionsplanung VV'!$C$20:$C$86,$B12,'F4 Investitionsplanung VV'!M$20:M$86)</f>
        <v>0</v>
      </c>
      <c r="I12" s="1214">
        <f>SUMIF('F4 Investitionsplanung VV'!$C$20:$C$86,$B12,'F4 Investitionsplanung VV'!N$20:N$86)</f>
        <v>0</v>
      </c>
      <c r="J12" s="1214">
        <f t="shared" ref="J12:J17" si="1">SUM(D12:I12)</f>
        <v>0</v>
      </c>
      <c r="K12" s="102"/>
      <c r="L12" s="86"/>
    </row>
    <row r="13" spans="1:13" s="1208" customFormat="1">
      <c r="A13" s="120"/>
      <c r="B13" s="1244">
        <v>52</v>
      </c>
      <c r="C13" s="1234" t="s">
        <v>109</v>
      </c>
      <c r="D13" s="1214">
        <f>SUMIF('F4 Investitionsplanung VV'!$C$20:$C$86,$B13,'F4 Investitionsplanung VV'!I$20:I$86)</f>
        <v>80</v>
      </c>
      <c r="E13" s="1214">
        <f>SUMIF('F4 Investitionsplanung VV'!$C$20:$C$86,$B13,'F4 Investitionsplanung VV'!J$20:J$86)</f>
        <v>0</v>
      </c>
      <c r="F13" s="1214">
        <f>SUMIF('F4 Investitionsplanung VV'!$C$20:$C$86,$B13,'F4 Investitionsplanung VV'!K$20:K$86)</f>
        <v>0</v>
      </c>
      <c r="G13" s="1214">
        <f>SUMIF('F4 Investitionsplanung VV'!$C$20:$C$86,$B13,'F4 Investitionsplanung VV'!L$20:L$86)</f>
        <v>0</v>
      </c>
      <c r="H13" s="1214">
        <f>SUMIF('F4 Investitionsplanung VV'!$C$20:$C$86,$B13,'F4 Investitionsplanung VV'!M$20:M$86)</f>
        <v>0</v>
      </c>
      <c r="I13" s="1214">
        <f>SUMIF('F4 Investitionsplanung VV'!$C$20:$C$86,$B13,'F4 Investitionsplanung VV'!N$20:N$86)</f>
        <v>0</v>
      </c>
      <c r="J13" s="1214">
        <f t="shared" si="1"/>
        <v>80</v>
      </c>
      <c r="K13" s="102"/>
      <c r="L13" s="86"/>
    </row>
    <row r="14" spans="1:13" s="85" customFormat="1">
      <c r="A14" s="86"/>
      <c r="B14" s="1244">
        <v>54</v>
      </c>
      <c r="C14" s="1234" t="s">
        <v>110</v>
      </c>
      <c r="D14" s="1214">
        <f>SUMIF('F4 Investitionsplanung VV'!$C$20:$C$86,$B14,'F4 Investitionsplanung VV'!I$20:I$86)</f>
        <v>0</v>
      </c>
      <c r="E14" s="1214">
        <f>SUMIF('F4 Investitionsplanung VV'!$C$20:$C$86,$B14,'F4 Investitionsplanung VV'!J$20:J$86)</f>
        <v>0</v>
      </c>
      <c r="F14" s="1214">
        <f>SUMIF('F4 Investitionsplanung VV'!$C$20:$C$86,$B14,'F4 Investitionsplanung VV'!K$20:K$86)</f>
        <v>0</v>
      </c>
      <c r="G14" s="1214">
        <f>SUMIF('F4 Investitionsplanung VV'!$C$20:$C$86,$B14,'F4 Investitionsplanung VV'!L$20:L$86)</f>
        <v>0</v>
      </c>
      <c r="H14" s="1214">
        <f>SUMIF('F4 Investitionsplanung VV'!$C$20:$C$86,$B14,'F4 Investitionsplanung VV'!M$20:M$86)</f>
        <v>0</v>
      </c>
      <c r="I14" s="1214">
        <f>SUMIF('F4 Investitionsplanung VV'!$C$20:$C$86,$B14,'F4 Investitionsplanung VV'!N$20:N$86)</f>
        <v>0</v>
      </c>
      <c r="J14" s="1214">
        <f t="shared" si="1"/>
        <v>0</v>
      </c>
      <c r="K14" s="102"/>
      <c r="L14" s="86"/>
    </row>
    <row r="15" spans="1:13" s="85" customFormat="1">
      <c r="A15" s="86"/>
      <c r="B15" s="1244">
        <v>55</v>
      </c>
      <c r="C15" s="1234" t="s">
        <v>131</v>
      </c>
      <c r="D15" s="1214">
        <f>SUMIF('F4 Investitionsplanung VV'!$C$20:$C$86,$B15,'F4 Investitionsplanung VV'!I$20:I$86)</f>
        <v>0</v>
      </c>
      <c r="E15" s="1214">
        <f>SUMIF('F4 Investitionsplanung VV'!$C$20:$C$86,$B15,'F4 Investitionsplanung VV'!J$20:J$86)</f>
        <v>0</v>
      </c>
      <c r="F15" s="1214">
        <f>SUMIF('F4 Investitionsplanung VV'!$C$20:$C$86,$B15,'F4 Investitionsplanung VV'!K$20:K$86)</f>
        <v>0</v>
      </c>
      <c r="G15" s="1214">
        <f>SUMIF('F4 Investitionsplanung VV'!$C$20:$C$86,$B15,'F4 Investitionsplanung VV'!L$20:L$86)</f>
        <v>0</v>
      </c>
      <c r="H15" s="1214">
        <f>SUMIF('F4 Investitionsplanung VV'!$C$20:$C$86,$B15,'F4 Investitionsplanung VV'!M$20:M$86)</f>
        <v>0</v>
      </c>
      <c r="I15" s="1214">
        <f>SUMIF('F4 Investitionsplanung VV'!$C$20:$C$86,$B15,'F4 Investitionsplanung VV'!N$20:N$86)</f>
        <v>0</v>
      </c>
      <c r="J15" s="1214">
        <f t="shared" si="1"/>
        <v>0</v>
      </c>
      <c r="K15" s="102"/>
      <c r="L15" s="86"/>
    </row>
    <row r="16" spans="1:13" s="1208" customFormat="1">
      <c r="A16" s="120"/>
      <c r="B16" s="1244">
        <v>56</v>
      </c>
      <c r="C16" s="1234" t="s">
        <v>168</v>
      </c>
      <c r="D16" s="1214">
        <f>SUMIF('F4 Investitionsplanung VV'!$C$20:$C$86,$B16,'F4 Investitionsplanung VV'!I$20:I$86)</f>
        <v>330</v>
      </c>
      <c r="E16" s="1214">
        <f>SUMIF('F4 Investitionsplanung VV'!$C$20:$C$86,$B16,'F4 Investitionsplanung VV'!J$20:J$86)</f>
        <v>205</v>
      </c>
      <c r="F16" s="1214">
        <f>SUMIF('F4 Investitionsplanung VV'!$C$20:$C$86,$B16,'F4 Investitionsplanung VV'!K$20:K$86)</f>
        <v>105</v>
      </c>
      <c r="G16" s="1214">
        <f>SUMIF('F4 Investitionsplanung VV'!$C$20:$C$86,$B16,'F4 Investitionsplanung VV'!L$20:L$86)</f>
        <v>150</v>
      </c>
      <c r="H16" s="1214">
        <f>SUMIF('F4 Investitionsplanung VV'!$C$20:$C$86,$B16,'F4 Investitionsplanung VV'!M$20:M$86)</f>
        <v>150</v>
      </c>
      <c r="I16" s="1214">
        <f>SUMIF('F4 Investitionsplanung VV'!$C$20:$C$86,$B16,'F4 Investitionsplanung VV'!N$20:N$86)</f>
        <v>130</v>
      </c>
      <c r="J16" s="1214">
        <f t="shared" si="1"/>
        <v>1070</v>
      </c>
      <c r="K16" s="102"/>
      <c r="L16" s="86"/>
    </row>
    <row r="17" spans="1:12" s="1208" customFormat="1">
      <c r="A17" s="120"/>
      <c r="B17" s="1245">
        <v>57</v>
      </c>
      <c r="C17" s="1234" t="s">
        <v>336</v>
      </c>
      <c r="D17" s="1217">
        <f>SUMIF('F4 Investitionsplanung VV'!$C$20:$C$86,$B17,'F4 Investitionsplanung VV'!I$20:I$86)</f>
        <v>0</v>
      </c>
      <c r="E17" s="1217">
        <f>SUMIF('F4 Investitionsplanung VV'!$C$20:$C$86,$B17,'F4 Investitionsplanung VV'!J$20:J$86)</f>
        <v>0</v>
      </c>
      <c r="F17" s="1217">
        <f>SUMIF('F4 Investitionsplanung VV'!$C$20:$C$86,$B17,'F4 Investitionsplanung VV'!K$20:K$86)</f>
        <v>0</v>
      </c>
      <c r="G17" s="1217">
        <f>SUMIF('F4 Investitionsplanung VV'!$C$20:$C$86,$B17,'F4 Investitionsplanung VV'!L$20:L$86)</f>
        <v>0</v>
      </c>
      <c r="H17" s="1217">
        <f>SUMIF('F4 Investitionsplanung VV'!$C$20:$C$86,$B17,'F4 Investitionsplanung VV'!M$20:M$86)</f>
        <v>0</v>
      </c>
      <c r="I17" s="1217">
        <f>SUMIF('F4 Investitionsplanung VV'!$C$20:$C$86,$B17,'F4 Investitionsplanung VV'!N$20:N$86)</f>
        <v>0</v>
      </c>
      <c r="J17" s="1217">
        <f t="shared" si="1"/>
        <v>0</v>
      </c>
      <c r="K17" s="102"/>
      <c r="L17" s="86"/>
    </row>
    <row r="18" spans="1:12" s="85" customFormat="1">
      <c r="A18" s="86"/>
      <c r="B18" s="1246"/>
      <c r="C18" s="1235" t="s">
        <v>337</v>
      </c>
      <c r="D18" s="1218">
        <f>SUM(D11:D17)</f>
        <v>3115</v>
      </c>
      <c r="E18" s="1218">
        <f t="shared" ref="E18:J18" si="2">SUM(E11:E17)</f>
        <v>3635</v>
      </c>
      <c r="F18" s="1218">
        <f t="shared" si="2"/>
        <v>3635</v>
      </c>
      <c r="G18" s="1218">
        <f t="shared" si="2"/>
        <v>3200</v>
      </c>
      <c r="H18" s="1218">
        <f t="shared" si="2"/>
        <v>2070</v>
      </c>
      <c r="I18" s="1218">
        <f t="shared" si="2"/>
        <v>1500</v>
      </c>
      <c r="J18" s="1219">
        <f t="shared" si="2"/>
        <v>17155</v>
      </c>
      <c r="K18" s="102"/>
      <c r="L18" s="86"/>
    </row>
    <row r="19" spans="1:12" s="85" customFormat="1">
      <c r="A19" s="102"/>
      <c r="B19" s="1202"/>
      <c r="C19" s="102"/>
      <c r="D19" s="102"/>
      <c r="E19" s="102"/>
      <c r="F19" s="102"/>
      <c r="G19" s="102"/>
      <c r="H19" s="102"/>
      <c r="I19" s="102"/>
      <c r="J19" s="102"/>
      <c r="K19" s="102"/>
      <c r="L19" s="86"/>
    </row>
    <row r="20" spans="1:12" s="1208" customFormat="1" ht="22.5">
      <c r="A20" s="120"/>
      <c r="B20" s="1247">
        <v>60</v>
      </c>
      <c r="C20" s="1236" t="s">
        <v>338</v>
      </c>
      <c r="D20" s="1222">
        <f>-SUMIF('F4 Investitionsplanung VV'!$C$20:$C$86,$B20,'F4 Investitionsplanung VV'!I$20:I$86)</f>
        <v>0</v>
      </c>
      <c r="E20" s="1222">
        <f>-SUMIF('F4 Investitionsplanung VV'!$C$20:$C$86,$B20,'F4 Investitionsplanung VV'!J$20:J$86)</f>
        <v>0</v>
      </c>
      <c r="F20" s="1222">
        <f>-SUMIF('F4 Investitionsplanung VV'!$C$20:$C$86,$B20,'F4 Investitionsplanung VV'!K$20:K$86)</f>
        <v>0</v>
      </c>
      <c r="G20" s="1222">
        <f>-SUMIF('F4 Investitionsplanung VV'!$C$20:$C$86,$B20,'F4 Investitionsplanung VV'!L$20:L$86)</f>
        <v>0</v>
      </c>
      <c r="H20" s="1222">
        <f>-SUMIF('F4 Investitionsplanung VV'!$C$20:$C$86,$B20,'F4 Investitionsplanung VV'!M$20:M$86)</f>
        <v>0</v>
      </c>
      <c r="I20" s="1222">
        <f>-SUMIF('F4 Investitionsplanung VV'!$C$20:$C$86,$B20,'F4 Investitionsplanung VV'!N$20:N$86)</f>
        <v>0</v>
      </c>
      <c r="J20" s="1223">
        <f t="shared" ref="J20:J27" si="3">SUM(D20:I20)</f>
        <v>0</v>
      </c>
      <c r="K20" s="102"/>
      <c r="L20" s="86"/>
    </row>
    <row r="21" spans="1:12" s="1208" customFormat="1">
      <c r="A21" s="120"/>
      <c r="B21" s="1248">
        <v>61</v>
      </c>
      <c r="C21" s="1237" t="s">
        <v>133</v>
      </c>
      <c r="D21" s="1224">
        <f>-SUMIF('F4 Investitionsplanung VV'!$C$20:$C$86,$B21,'F4 Investitionsplanung VV'!I$20:I$86)</f>
        <v>110</v>
      </c>
      <c r="E21" s="1224">
        <f>-SUMIF('F4 Investitionsplanung VV'!$C$20:$C$86,$B21,'F4 Investitionsplanung VV'!J$20:J$86)</f>
        <v>0</v>
      </c>
      <c r="F21" s="1224">
        <f>-SUMIF('F4 Investitionsplanung VV'!$C$20:$C$86,$B21,'F4 Investitionsplanung VV'!K$20:K$86)</f>
        <v>0</v>
      </c>
      <c r="G21" s="1224">
        <f>-SUMIF('F4 Investitionsplanung VV'!$C$20:$C$86,$B21,'F4 Investitionsplanung VV'!L$20:L$86)</f>
        <v>0</v>
      </c>
      <c r="H21" s="1224">
        <f>-SUMIF('F4 Investitionsplanung VV'!$C$20:$C$86,$B21,'F4 Investitionsplanung VV'!M$20:M$86)</f>
        <v>0</v>
      </c>
      <c r="I21" s="1224">
        <f>-SUMIF('F4 Investitionsplanung VV'!$C$20:$C$86,$B21,'F4 Investitionsplanung VV'!N$20:N$86)</f>
        <v>0</v>
      </c>
      <c r="J21" s="1225">
        <f t="shared" si="3"/>
        <v>110</v>
      </c>
      <c r="K21" s="102"/>
      <c r="L21" s="86"/>
    </row>
    <row r="22" spans="1:12" s="85" customFormat="1" ht="22.5">
      <c r="A22" s="86"/>
      <c r="B22" s="1248">
        <v>62</v>
      </c>
      <c r="C22" s="1238" t="s">
        <v>339</v>
      </c>
      <c r="D22" s="1224">
        <f>-SUMIF('F4 Investitionsplanung VV'!$C$20:$C$86,$B22,'F4 Investitionsplanung VV'!I$20:I$86)</f>
        <v>0</v>
      </c>
      <c r="E22" s="1224">
        <f>-SUMIF('F4 Investitionsplanung VV'!$C$20:$C$86,$B22,'F4 Investitionsplanung VV'!J$20:J$86)</f>
        <v>0</v>
      </c>
      <c r="F22" s="1224">
        <f>-SUMIF('F4 Investitionsplanung VV'!$C$20:$C$86,$B22,'F4 Investitionsplanung VV'!K$20:K$86)</f>
        <v>0</v>
      </c>
      <c r="G22" s="1224">
        <f>-SUMIF('F4 Investitionsplanung VV'!$C$20:$C$86,$B22,'F4 Investitionsplanung VV'!L$20:L$86)</f>
        <v>0</v>
      </c>
      <c r="H22" s="1224">
        <f>-SUMIF('F4 Investitionsplanung VV'!$C$20:$C$86,$B22,'F4 Investitionsplanung VV'!M$20:M$86)</f>
        <v>0</v>
      </c>
      <c r="I22" s="1224">
        <f>-SUMIF('F4 Investitionsplanung VV'!$C$20:$C$86,$B22,'F4 Investitionsplanung VV'!N$20:N$86)</f>
        <v>0</v>
      </c>
      <c r="J22" s="1225">
        <f t="shared" si="3"/>
        <v>0</v>
      </c>
      <c r="K22" s="102"/>
      <c r="L22" s="86"/>
    </row>
    <row r="23" spans="1:12" s="85" customFormat="1">
      <c r="A23" s="86"/>
      <c r="B23" s="1248">
        <v>63</v>
      </c>
      <c r="C23" s="1237" t="s">
        <v>170</v>
      </c>
      <c r="D23" s="1224">
        <f>-SUMIF('F4 Investitionsplanung VV'!$C$20:$C$86,$B23,'F4 Investitionsplanung VV'!I$20:I$86)</f>
        <v>190</v>
      </c>
      <c r="E23" s="1224">
        <f>-SUMIF('F4 Investitionsplanung VV'!$C$20:$C$86,$B23,'F4 Investitionsplanung VV'!J$20:J$86)</f>
        <v>190</v>
      </c>
      <c r="F23" s="1224">
        <f>-SUMIF('F4 Investitionsplanung VV'!$C$20:$C$86,$B23,'F4 Investitionsplanung VV'!K$20:K$86)</f>
        <v>190</v>
      </c>
      <c r="G23" s="1224">
        <f>-SUMIF('F4 Investitionsplanung VV'!$C$20:$C$86,$B23,'F4 Investitionsplanung VV'!L$20:L$86)</f>
        <v>350</v>
      </c>
      <c r="H23" s="1224">
        <f>-SUMIF('F4 Investitionsplanung VV'!$C$20:$C$86,$B23,'F4 Investitionsplanung VV'!M$20:M$86)</f>
        <v>190</v>
      </c>
      <c r="I23" s="1224">
        <f>-SUMIF('F4 Investitionsplanung VV'!$C$20:$C$86,$B23,'F4 Investitionsplanung VV'!N$20:N$86)</f>
        <v>240</v>
      </c>
      <c r="J23" s="1225">
        <f t="shared" si="3"/>
        <v>1350</v>
      </c>
      <c r="K23" s="102"/>
      <c r="L23" s="86"/>
    </row>
    <row r="24" spans="1:12" s="1208" customFormat="1">
      <c r="A24" s="120"/>
      <c r="B24" s="1248">
        <v>64</v>
      </c>
      <c r="C24" s="1237" t="s">
        <v>171</v>
      </c>
      <c r="D24" s="1224">
        <f>-SUMIF('F4 Investitionsplanung VV'!$C$20:$C$86,$B24,'F4 Investitionsplanung VV'!I$20:I$86)</f>
        <v>0</v>
      </c>
      <c r="E24" s="1224">
        <f>-SUMIF('F4 Investitionsplanung VV'!$C$20:$C$86,$B24,'F4 Investitionsplanung VV'!J$20:J$86)</f>
        <v>0</v>
      </c>
      <c r="F24" s="1224">
        <f>-SUMIF('F4 Investitionsplanung VV'!$C$20:$C$86,$B24,'F4 Investitionsplanung VV'!K$20:K$86)</f>
        <v>0</v>
      </c>
      <c r="G24" s="1224">
        <f>-SUMIF('F4 Investitionsplanung VV'!$C$20:$C$86,$B24,'F4 Investitionsplanung VV'!L$20:L$86)</f>
        <v>0</v>
      </c>
      <c r="H24" s="1224">
        <f>-SUMIF('F4 Investitionsplanung VV'!$C$20:$C$86,$B24,'F4 Investitionsplanung VV'!M$20:M$86)</f>
        <v>0</v>
      </c>
      <c r="I24" s="1224">
        <f>-SUMIF('F4 Investitionsplanung VV'!$C$20:$C$86,$B24,'F4 Investitionsplanung VV'!N$20:N$86)</f>
        <v>0</v>
      </c>
      <c r="J24" s="1225">
        <f t="shared" si="3"/>
        <v>0</v>
      </c>
      <c r="K24" s="102"/>
      <c r="L24" s="86"/>
    </row>
    <row r="25" spans="1:12" s="1208" customFormat="1" ht="22.5">
      <c r="A25" s="120"/>
      <c r="B25" s="1248">
        <v>65</v>
      </c>
      <c r="C25" s="1238" t="s">
        <v>340</v>
      </c>
      <c r="D25" s="1224">
        <f>-SUMIF('F4 Investitionsplanung VV'!$C$20:$C$86,$B25,'F4 Investitionsplanung VV'!I$20:I$86)</f>
        <v>0</v>
      </c>
      <c r="E25" s="1224">
        <f>-SUMIF('F4 Investitionsplanung VV'!$C$20:$C$86,$B25,'F4 Investitionsplanung VV'!J$20:J$86)</f>
        <v>0</v>
      </c>
      <c r="F25" s="1224">
        <f>-SUMIF('F4 Investitionsplanung VV'!$C$20:$C$86,$B25,'F4 Investitionsplanung VV'!K$20:K$86)</f>
        <v>0</v>
      </c>
      <c r="G25" s="1224">
        <f>-SUMIF('F4 Investitionsplanung VV'!$C$20:$C$86,$B25,'F4 Investitionsplanung VV'!L$20:L$86)</f>
        <v>0</v>
      </c>
      <c r="H25" s="1224">
        <f>-SUMIF('F4 Investitionsplanung VV'!$C$20:$C$86,$B25,'F4 Investitionsplanung VV'!M$20:M$86)</f>
        <v>0</v>
      </c>
      <c r="I25" s="1224">
        <f>-SUMIF('F4 Investitionsplanung VV'!$C$20:$C$86,$B25,'F4 Investitionsplanung VV'!N$20:N$86)</f>
        <v>0</v>
      </c>
      <c r="J25" s="1225">
        <f t="shared" si="3"/>
        <v>0</v>
      </c>
      <c r="K25" s="102"/>
      <c r="L25" s="86"/>
    </row>
    <row r="26" spans="1:12" s="85" customFormat="1">
      <c r="A26" s="86"/>
      <c r="B26" s="1248">
        <v>66</v>
      </c>
      <c r="C26" s="1237" t="s">
        <v>173</v>
      </c>
      <c r="D26" s="1217">
        <f>-SUMIF('F4 Investitionsplanung VV'!$C$20:$C$86,$B26,'F4 Investitionsplanung VV'!I$20:I$86)</f>
        <v>0</v>
      </c>
      <c r="E26" s="1217">
        <f>-SUMIF('F4 Investitionsplanung VV'!$C$20:$C$86,$B26,'F4 Investitionsplanung VV'!J$20:J$86)</f>
        <v>0</v>
      </c>
      <c r="F26" s="1217">
        <f>-SUMIF('F4 Investitionsplanung VV'!$C$20:$C$86,$B26,'F4 Investitionsplanung VV'!K$20:K$86)</f>
        <v>0</v>
      </c>
      <c r="G26" s="1217">
        <f>-SUMIF('F4 Investitionsplanung VV'!$C$20:$C$86,$B26,'F4 Investitionsplanung VV'!L$20:L$86)</f>
        <v>0</v>
      </c>
      <c r="H26" s="1217">
        <f>-SUMIF('F4 Investitionsplanung VV'!$C$20:$C$86,$B26,'F4 Investitionsplanung VV'!M$20:M$86)</f>
        <v>0</v>
      </c>
      <c r="I26" s="1217">
        <f>-SUMIF('F4 Investitionsplanung VV'!$C$20:$C$86,$B26,'F4 Investitionsplanung VV'!N$20:N$86)</f>
        <v>0</v>
      </c>
      <c r="J26" s="1233">
        <f t="shared" si="3"/>
        <v>0</v>
      </c>
      <c r="K26" s="102"/>
      <c r="L26" s="86"/>
    </row>
    <row r="27" spans="1:12" s="85" customFormat="1">
      <c r="A27" s="86"/>
      <c r="B27" s="1249">
        <v>67</v>
      </c>
      <c r="C27" s="1237" t="s">
        <v>336</v>
      </c>
      <c r="D27" s="1229">
        <f>-SUMIF('F4 Investitionsplanung VV'!$C$20:$C$86,$B27,'F4 Investitionsplanung VV'!I$20:I$86)</f>
        <v>0</v>
      </c>
      <c r="E27" s="1229">
        <f>-SUMIF('F4 Investitionsplanung VV'!$C$20:$C$86,$B27,'F4 Investitionsplanung VV'!J$20:J$86)</f>
        <v>0</v>
      </c>
      <c r="F27" s="1229">
        <f>-SUMIF('F4 Investitionsplanung VV'!$C$20:$C$86,$B27,'F4 Investitionsplanung VV'!K$20:K$86)</f>
        <v>0</v>
      </c>
      <c r="G27" s="1229">
        <f>-SUMIF('F4 Investitionsplanung VV'!$C$20:$C$86,$B27,'F4 Investitionsplanung VV'!L$20:L$86)</f>
        <v>0</v>
      </c>
      <c r="H27" s="1229">
        <f>-SUMIF('F4 Investitionsplanung VV'!$C$20:$C$86,$B27,'F4 Investitionsplanung VV'!M$20:M$86)</f>
        <v>0</v>
      </c>
      <c r="I27" s="1229">
        <f>-SUMIF('F4 Investitionsplanung VV'!$C$20:$C$86,$B27,'F4 Investitionsplanung VV'!N$20:N$86)</f>
        <v>0</v>
      </c>
      <c r="J27" s="1230">
        <f t="shared" si="3"/>
        <v>0</v>
      </c>
      <c r="K27" s="102"/>
      <c r="L27" s="86"/>
    </row>
    <row r="28" spans="1:12" s="85" customFormat="1">
      <c r="A28" s="86"/>
      <c r="B28" s="1246"/>
      <c r="C28" s="1235" t="s">
        <v>341</v>
      </c>
      <c r="D28" s="1218">
        <f>SUM(D20:D27)</f>
        <v>300</v>
      </c>
      <c r="E28" s="1218">
        <f t="shared" ref="E28:I28" si="4">SUM(E20:E27)</f>
        <v>190</v>
      </c>
      <c r="F28" s="1218">
        <f t="shared" si="4"/>
        <v>190</v>
      </c>
      <c r="G28" s="1218">
        <f t="shared" si="4"/>
        <v>350</v>
      </c>
      <c r="H28" s="1218">
        <f t="shared" si="4"/>
        <v>190</v>
      </c>
      <c r="I28" s="1218">
        <f t="shared" si="4"/>
        <v>240</v>
      </c>
      <c r="J28" s="1219">
        <f>SUM(J20:J27)</f>
        <v>1460</v>
      </c>
      <c r="K28" s="102"/>
      <c r="L28" s="86"/>
    </row>
    <row r="29" spans="1:12" s="1208" customFormat="1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86"/>
    </row>
    <row r="30" spans="1:12" s="1208" customFormat="1">
      <c r="A30" s="120"/>
      <c r="B30" s="1226"/>
      <c r="C30" s="1239"/>
      <c r="D30" s="1222"/>
      <c r="E30" s="1222"/>
      <c r="F30" s="1222"/>
      <c r="G30" s="1222"/>
      <c r="H30" s="1222"/>
      <c r="I30" s="1222"/>
      <c r="J30" s="1223"/>
      <c r="K30" s="102"/>
      <c r="L30" s="86"/>
    </row>
    <row r="31" spans="1:12" s="85" customFormat="1">
      <c r="A31" s="86"/>
      <c r="B31" s="1213"/>
      <c r="C31" s="1240" t="s">
        <v>342</v>
      </c>
      <c r="D31" s="1220">
        <f>D18-D28</f>
        <v>2815</v>
      </c>
      <c r="E31" s="1220">
        <f t="shared" ref="E31:I31" si="5">E18-E28</f>
        <v>3445</v>
      </c>
      <c r="F31" s="1220">
        <f t="shared" si="5"/>
        <v>3445</v>
      </c>
      <c r="G31" s="1220">
        <f t="shared" si="5"/>
        <v>2850</v>
      </c>
      <c r="H31" s="1220">
        <f t="shared" si="5"/>
        <v>1880</v>
      </c>
      <c r="I31" s="1220">
        <f t="shared" si="5"/>
        <v>1260</v>
      </c>
      <c r="J31" s="1227">
        <f>J18-J28</f>
        <v>15695</v>
      </c>
      <c r="K31" s="102"/>
      <c r="L31" s="86"/>
    </row>
    <row r="32" spans="1:12" s="1208" customFormat="1">
      <c r="A32" s="120"/>
      <c r="B32" s="1213"/>
      <c r="C32" s="1241"/>
      <c r="D32" s="1224"/>
      <c r="E32" s="1224"/>
      <c r="F32" s="1224"/>
      <c r="G32" s="1224"/>
      <c r="H32" s="1224"/>
      <c r="I32" s="1224"/>
      <c r="J32" s="1225"/>
      <c r="K32" s="102"/>
      <c r="L32" s="86"/>
    </row>
    <row r="33" spans="1:12" s="1208" customFormat="1">
      <c r="A33" s="120"/>
      <c r="B33" s="1213"/>
      <c r="C33" s="1242" t="s">
        <v>343</v>
      </c>
      <c r="D33" s="1231">
        <f>'F4 Investitionsplanung VV'!I15</f>
        <v>135</v>
      </c>
      <c r="E33" s="1231">
        <f>'F4 Investitionsplanung VV'!J15</f>
        <v>90</v>
      </c>
      <c r="F33" s="1231">
        <f>'F4 Investitionsplanung VV'!K15</f>
        <v>230</v>
      </c>
      <c r="G33" s="1231">
        <f>'F4 Investitionsplanung VV'!L15</f>
        <v>990</v>
      </c>
      <c r="H33" s="1231">
        <f>'F4 Investitionsplanung VV'!M15</f>
        <v>1010</v>
      </c>
      <c r="I33" s="1231">
        <f>'F4 Investitionsplanung VV'!N15</f>
        <v>560</v>
      </c>
      <c r="J33" s="1232">
        <f>SUM(D33:I33)</f>
        <v>3015</v>
      </c>
      <c r="K33" s="102"/>
      <c r="L33" s="86"/>
    </row>
    <row r="34" spans="1:12" s="1208" customFormat="1">
      <c r="A34" s="120"/>
      <c r="B34" s="1228"/>
      <c r="C34" s="1243"/>
      <c r="D34" s="1229"/>
      <c r="E34" s="1229"/>
      <c r="F34" s="1229"/>
      <c r="G34" s="1229"/>
      <c r="H34" s="1229"/>
      <c r="I34" s="1229"/>
      <c r="J34" s="1230"/>
      <c r="K34" s="102"/>
      <c r="L34" s="86"/>
    </row>
    <row r="35" spans="1:12" ht="6.75" customHeight="1">
      <c r="K35" s="102"/>
    </row>
    <row r="36" spans="1:12">
      <c r="K36" s="102"/>
    </row>
    <row r="37" spans="1:12">
      <c r="K37" s="102"/>
    </row>
    <row r="38" spans="1:12">
      <c r="C38" s="86"/>
      <c r="K38" s="102"/>
    </row>
    <row r="39" spans="1:12">
      <c r="K39" s="102"/>
    </row>
    <row r="40" spans="1:12">
      <c r="K40" s="102"/>
    </row>
    <row r="41" spans="1:12">
      <c r="K41" s="102"/>
    </row>
    <row r="42" spans="1:12">
      <c r="K42" s="102"/>
    </row>
    <row r="43" spans="1:12">
      <c r="K43" s="102"/>
    </row>
    <row r="44" spans="1:12">
      <c r="K44" s="102"/>
    </row>
    <row r="45" spans="1:12">
      <c r="K45" s="102"/>
    </row>
    <row r="46" spans="1:12">
      <c r="K46" s="102"/>
    </row>
    <row r="47" spans="1:12">
      <c r="K47" s="102"/>
    </row>
    <row r="48" spans="1:12">
      <c r="K48" s="102"/>
    </row>
    <row r="49" spans="11:11">
      <c r="K49" s="102"/>
    </row>
    <row r="50" spans="11:11">
      <c r="K50" s="102"/>
    </row>
    <row r="51" spans="11:11">
      <c r="K51" s="102"/>
    </row>
    <row r="52" spans="11:11">
      <c r="K52" s="102"/>
    </row>
    <row r="53" spans="11:11">
      <c r="K53" s="102"/>
    </row>
    <row r="54" spans="11:11">
      <c r="K54" s="102"/>
    </row>
    <row r="55" spans="11:11">
      <c r="K55" s="102"/>
    </row>
    <row r="56" spans="11:11">
      <c r="K56" s="102"/>
    </row>
    <row r="57" spans="11:11">
      <c r="K57" s="102"/>
    </row>
    <row r="58" spans="11:11">
      <c r="K58" s="102"/>
    </row>
    <row r="59" spans="11:11">
      <c r="K59" s="102"/>
    </row>
    <row r="60" spans="11:11">
      <c r="K60" s="102"/>
    </row>
    <row r="61" spans="11:11">
      <c r="K61" s="102"/>
    </row>
    <row r="62" spans="11:11">
      <c r="K62" s="102"/>
    </row>
    <row r="63" spans="11:11">
      <c r="K63" s="102"/>
    </row>
    <row r="64" spans="11:11">
      <c r="K64" s="102"/>
    </row>
    <row r="65" spans="11:11">
      <c r="K65" s="102"/>
    </row>
    <row r="66" spans="11:11">
      <c r="K66" s="102"/>
    </row>
    <row r="67" spans="11:11">
      <c r="K67" s="102"/>
    </row>
    <row r="68" spans="11:11">
      <c r="K68" s="102"/>
    </row>
    <row r="69" spans="11:11">
      <c r="K69" s="102"/>
    </row>
    <row r="70" spans="11:11">
      <c r="K70" s="102"/>
    </row>
    <row r="71" spans="11:11">
      <c r="K71" s="102"/>
    </row>
    <row r="72" spans="11:11">
      <c r="K72" s="102"/>
    </row>
    <row r="73" spans="11:11">
      <c r="K73" s="102"/>
    </row>
    <row r="74" spans="11:11">
      <c r="K74" s="102"/>
    </row>
    <row r="75" spans="11:11">
      <c r="K75" s="102"/>
    </row>
    <row r="76" spans="11:11">
      <c r="K76" s="102"/>
    </row>
    <row r="77" spans="11:11">
      <c r="K77" s="102"/>
    </row>
    <row r="78" spans="11:11">
      <c r="K78" s="102"/>
    </row>
    <row r="79" spans="11:11">
      <c r="K79" s="102"/>
    </row>
    <row r="80" spans="11:11">
      <c r="K80" s="102"/>
    </row>
    <row r="81" spans="11:11">
      <c r="K81" s="102"/>
    </row>
    <row r="82" spans="11:11">
      <c r="K82" s="102"/>
    </row>
    <row r="83" spans="11:11">
      <c r="K83" s="102"/>
    </row>
    <row r="84" spans="11:11">
      <c r="K84" s="102"/>
    </row>
    <row r="85" spans="11:11">
      <c r="K85" s="102"/>
    </row>
    <row r="86" spans="11:11">
      <c r="K86" s="102"/>
    </row>
    <row r="87" spans="11:11">
      <c r="K87" s="102"/>
    </row>
    <row r="88" spans="11:11">
      <c r="K88" s="102"/>
    </row>
    <row r="89" spans="11:11">
      <c r="K89" s="102"/>
    </row>
    <row r="90" spans="11:11">
      <c r="K90" s="102"/>
    </row>
    <row r="91" spans="11:11">
      <c r="K91" s="102"/>
    </row>
    <row r="92" spans="11:11">
      <c r="K92" s="102"/>
    </row>
    <row r="93" spans="11:11">
      <c r="K93" s="102"/>
    </row>
    <row r="94" spans="11:11">
      <c r="K94" s="102"/>
    </row>
    <row r="95" spans="11:11">
      <c r="K95" s="102"/>
    </row>
    <row r="96" spans="11:11">
      <c r="K96" s="102"/>
    </row>
    <row r="97" spans="11:11">
      <c r="K97" s="102"/>
    </row>
    <row r="98" spans="11:11">
      <c r="K98" s="102"/>
    </row>
    <row r="99" spans="11:11">
      <c r="K99" s="102"/>
    </row>
    <row r="100" spans="11:11">
      <c r="K100" s="102"/>
    </row>
    <row r="101" spans="11:11">
      <c r="K101" s="102"/>
    </row>
    <row r="102" spans="11:11">
      <c r="K102" s="102"/>
    </row>
    <row r="103" spans="11:11">
      <c r="K103" s="102"/>
    </row>
    <row r="104" spans="11:11">
      <c r="K104" s="102"/>
    </row>
    <row r="105" spans="11:11">
      <c r="K105" s="102"/>
    </row>
    <row r="106" spans="11:11">
      <c r="K106" s="102"/>
    </row>
    <row r="107" spans="11:11">
      <c r="K107" s="102"/>
    </row>
    <row r="108" spans="11:11">
      <c r="K108" s="102"/>
    </row>
    <row r="109" spans="11:11">
      <c r="K109" s="102"/>
    </row>
    <row r="110" spans="11:11">
      <c r="K110" s="102"/>
    </row>
    <row r="111" spans="11:11">
      <c r="K111" s="102"/>
    </row>
    <row r="112" spans="11:11">
      <c r="K112" s="102"/>
    </row>
    <row r="113" spans="11:11">
      <c r="K113" s="102"/>
    </row>
    <row r="114" spans="11:11">
      <c r="K114" s="102"/>
    </row>
    <row r="115" spans="11:11">
      <c r="K115" s="102"/>
    </row>
    <row r="116" spans="11:11">
      <c r="K116" s="102"/>
    </row>
    <row r="117" spans="11:11">
      <c r="K117" s="102"/>
    </row>
    <row r="118" spans="11:11">
      <c r="K118" s="102"/>
    </row>
    <row r="119" spans="11:11">
      <c r="K119" s="102"/>
    </row>
    <row r="120" spans="11:11">
      <c r="K120" s="102"/>
    </row>
    <row r="121" spans="11:11">
      <c r="K121" s="102"/>
    </row>
    <row r="122" spans="11:11">
      <c r="K122" s="102"/>
    </row>
    <row r="123" spans="11:11">
      <c r="K123" s="102"/>
    </row>
    <row r="124" spans="11:11">
      <c r="K124" s="102"/>
    </row>
    <row r="125" spans="11:11">
      <c r="K125" s="102"/>
    </row>
    <row r="126" spans="11:11">
      <c r="K126" s="102"/>
    </row>
    <row r="127" spans="11:11">
      <c r="K127" s="102"/>
    </row>
    <row r="128" spans="11:11">
      <c r="K128" s="102"/>
    </row>
    <row r="129" spans="11:11">
      <c r="K129" s="102"/>
    </row>
    <row r="130" spans="11:11">
      <c r="K130" s="102"/>
    </row>
    <row r="131" spans="11:11">
      <c r="K131" s="102"/>
    </row>
    <row r="132" spans="11:11">
      <c r="K132" s="102"/>
    </row>
    <row r="133" spans="11:11">
      <c r="K133" s="102"/>
    </row>
    <row r="134" spans="11:11">
      <c r="K134" s="102"/>
    </row>
    <row r="135" spans="11:11">
      <c r="K135" s="102"/>
    </row>
    <row r="136" spans="11:11">
      <c r="K136" s="102"/>
    </row>
    <row r="137" spans="11:11">
      <c r="K137" s="102"/>
    </row>
    <row r="138" spans="11:11">
      <c r="K138" s="102"/>
    </row>
    <row r="139" spans="11:11">
      <c r="K139" s="102"/>
    </row>
    <row r="140" spans="11:11">
      <c r="K140" s="102"/>
    </row>
    <row r="141" spans="11:11">
      <c r="K141" s="102"/>
    </row>
    <row r="142" spans="11:11">
      <c r="K142" s="102"/>
    </row>
    <row r="143" spans="11:11">
      <c r="K143" s="102"/>
    </row>
    <row r="144" spans="11:11">
      <c r="K144" s="102"/>
    </row>
    <row r="145" spans="11:11">
      <c r="K145" s="102"/>
    </row>
    <row r="146" spans="11:11">
      <c r="K146" s="102"/>
    </row>
    <row r="147" spans="11:11">
      <c r="K147" s="102"/>
    </row>
    <row r="148" spans="11:11">
      <c r="K148" s="102"/>
    </row>
    <row r="149" spans="11:11">
      <c r="K149" s="102"/>
    </row>
    <row r="150" spans="11:11">
      <c r="K150" s="102"/>
    </row>
    <row r="151" spans="11:11">
      <c r="K151" s="102"/>
    </row>
    <row r="152" spans="11:11">
      <c r="K152" s="102"/>
    </row>
    <row r="153" spans="11:11">
      <c r="K153" s="102"/>
    </row>
    <row r="154" spans="11:11">
      <c r="K154" s="102"/>
    </row>
    <row r="155" spans="11:11">
      <c r="K155" s="102"/>
    </row>
    <row r="156" spans="11:11">
      <c r="K156" s="102"/>
    </row>
    <row r="157" spans="11:11">
      <c r="K157" s="102"/>
    </row>
    <row r="158" spans="11:11">
      <c r="K158" s="102"/>
    </row>
    <row r="159" spans="11:11">
      <c r="K159" s="102"/>
    </row>
    <row r="160" spans="11:11">
      <c r="K160" s="102"/>
    </row>
    <row r="161" spans="11:11">
      <c r="K161" s="102"/>
    </row>
    <row r="162" spans="11:11">
      <c r="K162" s="102"/>
    </row>
    <row r="163" spans="11:11">
      <c r="K163" s="102"/>
    </row>
    <row r="164" spans="11:11">
      <c r="K164" s="102"/>
    </row>
    <row r="165" spans="11:11">
      <c r="K165" s="102"/>
    </row>
    <row r="166" spans="11:11">
      <c r="K166" s="102"/>
    </row>
    <row r="167" spans="11:11">
      <c r="K167" s="102"/>
    </row>
    <row r="168" spans="11:11">
      <c r="K168" s="102"/>
    </row>
    <row r="169" spans="11:11">
      <c r="K169" s="102"/>
    </row>
    <row r="170" spans="11:11">
      <c r="K170" s="102"/>
    </row>
    <row r="171" spans="11:11">
      <c r="K171" s="102"/>
    </row>
    <row r="172" spans="11:11">
      <c r="K172" s="102"/>
    </row>
    <row r="173" spans="11:11">
      <c r="K173" s="102"/>
    </row>
    <row r="174" spans="11:11">
      <c r="K174" s="102"/>
    </row>
    <row r="175" spans="11:11">
      <c r="K175" s="102"/>
    </row>
    <row r="176" spans="11:11">
      <c r="K176" s="102"/>
    </row>
    <row r="177" spans="11:11">
      <c r="K177" s="102"/>
    </row>
    <row r="178" spans="11:11">
      <c r="K178" s="102"/>
    </row>
    <row r="179" spans="11:11">
      <c r="K179" s="102"/>
    </row>
    <row r="180" spans="11:11">
      <c r="K180" s="102"/>
    </row>
    <row r="181" spans="11:11">
      <c r="K181" s="102"/>
    </row>
    <row r="182" spans="11:11">
      <c r="K182" s="102"/>
    </row>
    <row r="183" spans="11:11">
      <c r="K183" s="102"/>
    </row>
    <row r="184" spans="11:11">
      <c r="K184" s="102"/>
    </row>
    <row r="185" spans="11:11">
      <c r="K185" s="102"/>
    </row>
    <row r="186" spans="11:11">
      <c r="K186" s="102"/>
    </row>
    <row r="187" spans="11:11">
      <c r="K187" s="102"/>
    </row>
    <row r="188" spans="11:11">
      <c r="K188" s="102"/>
    </row>
    <row r="189" spans="11:11">
      <c r="K189" s="102"/>
    </row>
    <row r="190" spans="11:11">
      <c r="K190" s="102"/>
    </row>
    <row r="191" spans="11:11">
      <c r="K191" s="102"/>
    </row>
    <row r="192" spans="11:11">
      <c r="K192" s="102"/>
    </row>
    <row r="193" spans="11:11">
      <c r="K193" s="102"/>
    </row>
    <row r="194" spans="11:11">
      <c r="K194" s="102"/>
    </row>
    <row r="195" spans="11:11">
      <c r="K195" s="102"/>
    </row>
    <row r="196" spans="11:11">
      <c r="K196" s="102"/>
    </row>
    <row r="197" spans="11:11">
      <c r="K197" s="102"/>
    </row>
    <row r="198" spans="11:11">
      <c r="K198" s="102"/>
    </row>
    <row r="199" spans="11:11">
      <c r="K199" s="102"/>
    </row>
    <row r="200" spans="11:11">
      <c r="K200" s="102"/>
    </row>
    <row r="201" spans="11:11">
      <c r="K201" s="102"/>
    </row>
    <row r="202" spans="11:11">
      <c r="K202" s="102"/>
    </row>
    <row r="203" spans="11:11">
      <c r="K203" s="102"/>
    </row>
    <row r="204" spans="11:11">
      <c r="K204" s="102"/>
    </row>
    <row r="205" spans="11:11">
      <c r="K205" s="102"/>
    </row>
    <row r="206" spans="11:11">
      <c r="K206" s="102"/>
    </row>
    <row r="207" spans="11:11">
      <c r="K207" s="102"/>
    </row>
    <row r="208" spans="11:11">
      <c r="K208" s="102"/>
    </row>
    <row r="209" spans="11:11">
      <c r="K209" s="102"/>
    </row>
    <row r="210" spans="11:11">
      <c r="K210" s="102"/>
    </row>
    <row r="211" spans="11:11">
      <c r="K211" s="102"/>
    </row>
    <row r="212" spans="11:11">
      <c r="K212" s="102"/>
    </row>
    <row r="213" spans="11:11">
      <c r="K213" s="102"/>
    </row>
    <row r="214" spans="11:11">
      <c r="K214" s="102"/>
    </row>
    <row r="215" spans="11:11">
      <c r="K215" s="102"/>
    </row>
    <row r="216" spans="11:11">
      <c r="K216" s="102"/>
    </row>
    <row r="217" spans="11:11">
      <c r="K217" s="102"/>
    </row>
    <row r="218" spans="11:11">
      <c r="K218" s="102"/>
    </row>
    <row r="219" spans="11:11">
      <c r="K219" s="102"/>
    </row>
    <row r="220" spans="11:11">
      <c r="K220" s="102"/>
    </row>
    <row r="221" spans="11:11">
      <c r="K221" s="102"/>
    </row>
    <row r="222" spans="11:11">
      <c r="K222" s="102"/>
    </row>
    <row r="223" spans="11:11">
      <c r="K223" s="102"/>
    </row>
    <row r="224" spans="11:11">
      <c r="K224" s="102"/>
    </row>
    <row r="225" spans="11:11">
      <c r="K225" s="102"/>
    </row>
    <row r="226" spans="11:11">
      <c r="K226" s="102"/>
    </row>
    <row r="227" spans="11:11">
      <c r="K227" s="102"/>
    </row>
    <row r="228" spans="11:11">
      <c r="K228" s="102"/>
    </row>
    <row r="229" spans="11:11">
      <c r="K229" s="102"/>
    </row>
    <row r="230" spans="11:11">
      <c r="K230" s="102"/>
    </row>
    <row r="231" spans="11:11">
      <c r="K231" s="102"/>
    </row>
    <row r="232" spans="11:11">
      <c r="K232" s="102"/>
    </row>
    <row r="233" spans="11:11">
      <c r="K233" s="102"/>
    </row>
    <row r="234" spans="11:11">
      <c r="K234" s="102"/>
    </row>
    <row r="235" spans="11:11">
      <c r="K235" s="102"/>
    </row>
    <row r="236" spans="11:11">
      <c r="K236" s="102"/>
    </row>
    <row r="237" spans="11:11">
      <c r="K237" s="102"/>
    </row>
    <row r="238" spans="11:11">
      <c r="K238" s="102"/>
    </row>
    <row r="239" spans="11:11">
      <c r="K239" s="102"/>
    </row>
    <row r="240" spans="11:11">
      <c r="K240" s="102"/>
    </row>
    <row r="241" spans="11:11">
      <c r="K241" s="102"/>
    </row>
    <row r="242" spans="11:11">
      <c r="K242" s="102"/>
    </row>
    <row r="243" spans="11:11">
      <c r="K243" s="102"/>
    </row>
    <row r="244" spans="11:11">
      <c r="K244" s="102"/>
    </row>
    <row r="245" spans="11:11">
      <c r="K245" s="102"/>
    </row>
    <row r="246" spans="11:11">
      <c r="K246" s="102"/>
    </row>
    <row r="247" spans="11:11">
      <c r="K247" s="102"/>
    </row>
    <row r="248" spans="11:11">
      <c r="K248" s="102"/>
    </row>
    <row r="249" spans="11:11">
      <c r="K249" s="102"/>
    </row>
    <row r="250" spans="11:11">
      <c r="K250" s="102"/>
    </row>
    <row r="251" spans="11:11">
      <c r="K251" s="102"/>
    </row>
    <row r="252" spans="11:11">
      <c r="K252" s="102"/>
    </row>
    <row r="253" spans="11:11">
      <c r="K253" s="102"/>
    </row>
    <row r="254" spans="11:11">
      <c r="K254" s="102"/>
    </row>
    <row r="255" spans="11:11">
      <c r="K255" s="102"/>
    </row>
    <row r="256" spans="11:11">
      <c r="K256" s="102"/>
    </row>
    <row r="257" spans="11:11">
      <c r="K257" s="102"/>
    </row>
    <row r="258" spans="11:11">
      <c r="K258" s="102"/>
    </row>
    <row r="259" spans="11:11">
      <c r="K259" s="102"/>
    </row>
    <row r="260" spans="11:11">
      <c r="K260" s="102"/>
    </row>
    <row r="261" spans="11:11">
      <c r="K261" s="102"/>
    </row>
    <row r="262" spans="11:11">
      <c r="K262" s="102"/>
    </row>
    <row r="263" spans="11:11">
      <c r="K263" s="102"/>
    </row>
    <row r="264" spans="11:11">
      <c r="K264" s="102"/>
    </row>
    <row r="265" spans="11:11">
      <c r="K265" s="102"/>
    </row>
    <row r="266" spans="11:11">
      <c r="K266" s="102"/>
    </row>
    <row r="267" spans="11:11">
      <c r="K267" s="102"/>
    </row>
    <row r="268" spans="11:11">
      <c r="K268" s="102"/>
    </row>
    <row r="269" spans="11:11">
      <c r="K269" s="102"/>
    </row>
    <row r="270" spans="11:11">
      <c r="K270" s="102"/>
    </row>
    <row r="271" spans="11:11">
      <c r="K271" s="102"/>
    </row>
    <row r="272" spans="11:11">
      <c r="K272" s="102"/>
    </row>
    <row r="273" spans="11:11">
      <c r="K273" s="102"/>
    </row>
    <row r="274" spans="11:11">
      <c r="K274" s="102"/>
    </row>
    <row r="275" spans="11:11">
      <c r="K275" s="102"/>
    </row>
    <row r="276" spans="11:11">
      <c r="K276" s="102"/>
    </row>
    <row r="277" spans="11:11">
      <c r="K277" s="102"/>
    </row>
    <row r="278" spans="11:11">
      <c r="K278" s="102"/>
    </row>
    <row r="279" spans="11:11">
      <c r="K279" s="102"/>
    </row>
    <row r="280" spans="11:11">
      <c r="K280" s="102"/>
    </row>
    <row r="281" spans="11:11">
      <c r="K281" s="102"/>
    </row>
    <row r="282" spans="11:11">
      <c r="K282" s="102"/>
    </row>
    <row r="283" spans="11:11">
      <c r="K283" s="102"/>
    </row>
    <row r="284" spans="11:11">
      <c r="K284" s="102"/>
    </row>
    <row r="285" spans="11:11">
      <c r="K285" s="102"/>
    </row>
    <row r="286" spans="11:11">
      <c r="K286" s="102"/>
    </row>
    <row r="287" spans="11:11">
      <c r="K287" s="102"/>
    </row>
    <row r="288" spans="11:11">
      <c r="K288" s="102"/>
    </row>
    <row r="289" spans="11:11">
      <c r="K289" s="102"/>
    </row>
    <row r="290" spans="11:11">
      <c r="K290" s="102"/>
    </row>
    <row r="291" spans="11:11">
      <c r="K291" s="102"/>
    </row>
    <row r="292" spans="11:11">
      <c r="K292" s="102"/>
    </row>
    <row r="293" spans="11:11">
      <c r="K293" s="102"/>
    </row>
  </sheetData>
  <sheetProtection sheet="1" objects="1" scenarios="1"/>
  <dataConsolidate/>
  <pageMargins left="0.74803149606299202" right="0.74803149606299202" top="0.98425196850393704" bottom="0.98425196850393704" header="0.511811023622047" footer="0.511811023622047"/>
  <pageSetup paperSize="9" orientation="portrait" r:id="rId1"/>
  <headerFooter>
    <oddFooter>&amp;L&amp;8&amp;K000000© Legrafin                 &amp;D / &amp;T&amp;C&amp;8&amp;K000000Seite  &amp;P&amp;R&amp;8&amp;K000000&amp;F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73FF0926-DC35-3F46-BA51-E3E1E832B313}">
          <x14:formula1>
            <xm:f>'F0a Konfiguration'!$C$11:$C$20</xm:f>
          </x14:formula1>
          <xm:sqref>B11:B18 B20:B28 B30:B34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H69"/>
  <sheetViews>
    <sheetView zoomScale="125" zoomScaleNormal="125" zoomScalePageLayoutView="125" workbookViewId="0">
      <pane xSplit="6" ySplit="12" topLeftCell="G13" activePane="bottomRight" state="frozenSplit"/>
      <selection pane="topRight" activeCell="G1" sqref="G1"/>
      <selection pane="bottomLeft" activeCell="A13" sqref="A13"/>
      <selection pane="bottomRight" activeCell="G15" sqref="G15"/>
    </sheetView>
  </sheetViews>
  <sheetFormatPr baseColWidth="10" defaultColWidth="11.42578125" defaultRowHeight="11.25"/>
  <cols>
    <col min="1" max="1" width="0.85546875" style="1" customWidth="1"/>
    <col min="2" max="2" width="0.85546875" style="19" customWidth="1"/>
    <col min="3" max="4" width="1.7109375" style="19" customWidth="1"/>
    <col min="5" max="5" width="8.7109375" style="19" customWidth="1"/>
    <col min="6" max="6" width="19" style="19" customWidth="1"/>
    <col min="7" max="12" width="7" style="19" customWidth="1"/>
    <col min="13" max="13" width="5.140625" style="19" customWidth="1"/>
    <col min="14" max="14" width="1.28515625" style="19" customWidth="1"/>
    <col min="15" max="27" width="3.140625" style="19" customWidth="1"/>
    <col min="28" max="28" width="5.28515625" style="19" customWidth="1"/>
    <col min="29" max="33" width="6" style="19" customWidth="1"/>
    <col min="34" max="34" width="2.28515625" style="19" customWidth="1"/>
    <col min="35" max="16384" width="11.42578125" style="19"/>
  </cols>
  <sheetData>
    <row r="1" spans="1:34" s="36" customFormat="1" ht="12">
      <c r="B1" s="304" t="str">
        <f>"Aufgaben- und Finanzplan "&amp;TEXT(Budget2,0)&amp;" - "&amp;TEXT(Finz1+4,0)</f>
        <v>Aufgaben- und Finanzplan 2022 - 2027</v>
      </c>
      <c r="L1" s="37"/>
      <c r="M1" s="37" t="str">
        <f>"Gemeinde "&amp;TEXT(Gemeinde,0)</f>
        <v>Gemeinde Menznau</v>
      </c>
    </row>
    <row r="2" spans="1:34" s="1" customFormat="1">
      <c r="J2" s="208"/>
      <c r="AF2" s="208"/>
    </row>
    <row r="3" spans="1:34" s="14" customFormat="1">
      <c r="B3" s="35" t="str">
        <f>"Formular 5a: Veränderung der Zinsbelastung gegenüber Budgetjahr "&amp;Budget2</f>
        <v>Formular 5a: Veränderung der Zinsbelastung gegenüber Budgetjahr 2022</v>
      </c>
      <c r="C3" s="35"/>
      <c r="D3" s="35"/>
      <c r="E3" s="35"/>
      <c r="F3" s="35"/>
      <c r="G3" s="35"/>
      <c r="M3" s="21" t="s">
        <v>2</v>
      </c>
    </row>
    <row r="4" spans="1:34" s="20" customFormat="1" ht="12.75" customHeight="1">
      <c r="A4" s="14"/>
      <c r="M4" s="21"/>
      <c r="Z4" s="166"/>
      <c r="AA4" s="182" t="s">
        <v>49</v>
      </c>
      <c r="AB4" s="166"/>
      <c r="AC4" s="166"/>
      <c r="AD4" s="166"/>
      <c r="AE4" s="166"/>
      <c r="AF4" s="166"/>
      <c r="AG4" s="166"/>
      <c r="AH4" s="166"/>
    </row>
    <row r="5" spans="1:34" s="15" customFormat="1" ht="13.5" customHeight="1">
      <c r="B5" s="70"/>
      <c r="C5" s="32"/>
      <c r="D5" s="32"/>
      <c r="E5" s="32"/>
      <c r="F5" s="32"/>
      <c r="G5" s="902" t="s">
        <v>32</v>
      </c>
      <c r="H5" s="32" t="s">
        <v>26</v>
      </c>
      <c r="I5" s="32"/>
      <c r="J5" s="32"/>
      <c r="K5" s="32"/>
      <c r="L5" s="32"/>
      <c r="M5" s="28" t="s">
        <v>78</v>
      </c>
      <c r="Z5" s="166"/>
      <c r="AA5" s="183" t="s">
        <v>45</v>
      </c>
      <c r="AB5" s="166"/>
      <c r="AC5" s="166"/>
      <c r="AD5" s="166"/>
      <c r="AE5" s="166"/>
      <c r="AF5" s="166"/>
      <c r="AG5" s="166"/>
      <c r="AH5" s="166"/>
    </row>
    <row r="6" spans="1:34" s="15" customFormat="1" ht="13.5" customHeight="1">
      <c r="B6" s="71"/>
      <c r="C6" s="34"/>
      <c r="D6" s="34"/>
      <c r="E6" s="34"/>
      <c r="F6" s="34"/>
      <c r="G6" s="28">
        <f>Budget2</f>
        <v>2022</v>
      </c>
      <c r="H6" s="901">
        <f>Finz1</f>
        <v>2023</v>
      </c>
      <c r="I6" s="345">
        <f>H6+1</f>
        <v>2024</v>
      </c>
      <c r="J6" s="345">
        <f t="shared" ref="J6:L6" si="0">I6+1</f>
        <v>2025</v>
      </c>
      <c r="K6" s="345">
        <f t="shared" si="0"/>
        <v>2026</v>
      </c>
      <c r="L6" s="346">
        <f t="shared" si="0"/>
        <v>2027</v>
      </c>
      <c r="M6" s="200" t="s">
        <v>66</v>
      </c>
      <c r="Z6" s="166"/>
      <c r="AA6" s="183" t="s">
        <v>46</v>
      </c>
      <c r="AB6" s="166"/>
      <c r="AC6" s="166"/>
      <c r="AD6" s="166"/>
      <c r="AE6" s="166"/>
      <c r="AF6" s="166"/>
      <c r="AG6" s="166"/>
      <c r="AH6" s="166"/>
    </row>
    <row r="7" spans="1:34" s="20" customFormat="1" ht="12" customHeight="1">
      <c r="B7" s="50"/>
      <c r="C7" s="297" t="s">
        <v>155</v>
      </c>
      <c r="D7" s="51"/>
      <c r="E7" s="51"/>
      <c r="F7" s="51"/>
      <c r="G7" s="903">
        <f>-'F4 Investitionsplanung VV'!I14</f>
        <v>-2815</v>
      </c>
      <c r="H7" s="62">
        <f>-'F4 Investitionsplanung VV'!J14</f>
        <v>-3445</v>
      </c>
      <c r="I7" s="48">
        <f>-'F4 Investitionsplanung VV'!K14</f>
        <v>-3445</v>
      </c>
      <c r="J7" s="48">
        <f>-'F4 Investitionsplanung VV'!L14</f>
        <v>-2850</v>
      </c>
      <c r="K7" s="48">
        <f>-'F4 Investitionsplanung VV'!M14</f>
        <v>-1880</v>
      </c>
      <c r="L7" s="49">
        <f>-'F4 Investitionsplanung VV'!N14</f>
        <v>-1260</v>
      </c>
      <c r="M7" s="57"/>
      <c r="Z7" s="167"/>
      <c r="AA7" s="183" t="s">
        <v>47</v>
      </c>
      <c r="AB7" s="167"/>
      <c r="AC7" s="167"/>
      <c r="AD7" s="167"/>
      <c r="AE7" s="167"/>
      <c r="AF7" s="167"/>
      <c r="AG7" s="167"/>
      <c r="AH7" s="167"/>
    </row>
    <row r="8" spans="1:34" s="20" customFormat="1" ht="12" customHeight="1">
      <c r="B8" s="347"/>
      <c r="C8" s="348" t="s">
        <v>192</v>
      </c>
      <c r="D8" s="343"/>
      <c r="E8" s="343"/>
      <c r="F8" s="343"/>
      <c r="G8" s="910">
        <f>'F5 Prognose ER'!H71+'F5 Prognose ER'!H17+'F5 Prognose ER'!H21+'F5 Prognose ER'!H22+'F5 Prognose ER'!H29-'F5 Prognose ER'!H49-'F5 Prognose ER'!H50-'F5 Prognose ER'!H59</f>
        <v>1070</v>
      </c>
      <c r="H8" s="910">
        <f>'F5 Prognose ER'!I71+'F5 Prognose ER'!I17+'F5 Prognose ER'!I21+'F5 Prognose ER'!I22+'F5 Prognose ER'!I29-'F5 Prognose ER'!I49-'F5 Prognose ER'!I50-'F5 Prognose ER'!I59</f>
        <v>1171.3624999999993</v>
      </c>
      <c r="I8" s="910">
        <f>'F5 Prognose ER'!J71+'F5 Prognose ER'!J17+'F5 Prognose ER'!J21+'F5 Prognose ER'!J22+'F5 Prognose ER'!J29-'F5 Prognose ER'!J49-'F5 Prognose ER'!J50-'F5 Prognose ER'!J59</f>
        <v>1243.627255750002</v>
      </c>
      <c r="J8" s="910">
        <f>'F5 Prognose ER'!K71+'F5 Prognose ER'!K17+'F5 Prognose ER'!K21+'F5 Prognose ER'!K22+'F5 Prognose ER'!K29-'F5 Prognose ER'!K49-'F5 Prognose ER'!K50-'F5 Prognose ER'!K59</f>
        <v>1321.8837490036524</v>
      </c>
      <c r="K8" s="910">
        <f>'F5 Prognose ER'!L71+'F5 Prognose ER'!L17+'F5 Prognose ER'!L21+'F5 Prognose ER'!L22+'F5 Prognose ER'!L29-'F5 Prognose ER'!L49-'F5 Prognose ER'!L50-'F5 Prognose ER'!L59</f>
        <v>1434.1802030833985</v>
      </c>
      <c r="L8" s="910">
        <f>'F5 Prognose ER'!M71+'F5 Prognose ER'!M17+'F5 Prognose ER'!M21+'F5 Prognose ER'!M22+'F5 Prognose ER'!M29-'F5 Prognose ER'!M49-'F5 Prognose ER'!M50-'F5 Prognose ER'!M59</f>
        <v>1652.2707603423937</v>
      </c>
      <c r="M8" s="293"/>
      <c r="N8" s="344"/>
      <c r="O8" s="344"/>
      <c r="P8" s="344"/>
      <c r="Z8" s="167"/>
      <c r="AA8" s="183" t="s">
        <v>48</v>
      </c>
      <c r="AB8" s="167"/>
      <c r="AC8" s="167"/>
      <c r="AD8" s="167"/>
      <c r="AE8" s="167"/>
      <c r="AF8" s="167"/>
      <c r="AG8" s="167"/>
      <c r="AH8" s="167"/>
    </row>
    <row r="9" spans="1:34" s="20" customFormat="1" ht="12" customHeight="1">
      <c r="B9" s="50"/>
      <c r="C9" s="297" t="s">
        <v>193</v>
      </c>
      <c r="D9" s="51"/>
      <c r="E9" s="51"/>
      <c r="F9" s="51"/>
      <c r="G9" s="903">
        <f>G7+G8</f>
        <v>-1745</v>
      </c>
      <c r="H9" s="62">
        <f>H7+H8</f>
        <v>-2273.6375000000007</v>
      </c>
      <c r="I9" s="48">
        <f t="shared" ref="I9:L9" si="1">I7+I8</f>
        <v>-2201.372744249998</v>
      </c>
      <c r="J9" s="48">
        <f t="shared" si="1"/>
        <v>-1528.1162509963476</v>
      </c>
      <c r="K9" s="48">
        <f t="shared" si="1"/>
        <v>-445.81979691660149</v>
      </c>
      <c r="L9" s="49">
        <f t="shared" si="1"/>
        <v>392.27076034239371</v>
      </c>
      <c r="M9" s="68"/>
      <c r="Z9" s="167"/>
      <c r="AA9" s="183"/>
      <c r="AB9" s="167"/>
      <c r="AC9" s="167"/>
      <c r="AD9" s="167"/>
      <c r="AE9" s="167"/>
      <c r="AF9" s="167"/>
      <c r="AG9" s="167"/>
      <c r="AH9" s="167"/>
    </row>
    <row r="10" spans="1:34" s="20" customFormat="1" ht="12" customHeight="1">
      <c r="B10" s="50"/>
      <c r="C10" s="51" t="s">
        <v>35</v>
      </c>
      <c r="D10" s="51"/>
      <c r="E10" s="51"/>
      <c r="F10" s="51"/>
      <c r="G10" s="904"/>
      <c r="H10" s="53"/>
      <c r="I10" s="26"/>
      <c r="J10" s="26"/>
      <c r="K10" s="26"/>
      <c r="L10" s="38"/>
      <c r="M10" s="69"/>
      <c r="Z10" s="167"/>
      <c r="AA10" s="167"/>
      <c r="AB10" s="167"/>
      <c r="AC10" s="167"/>
      <c r="AD10" s="167"/>
      <c r="AE10" s="167"/>
      <c r="AF10" s="167"/>
      <c r="AG10" s="167"/>
      <c r="AH10" s="167"/>
    </row>
    <row r="11" spans="1:34" s="15" customFormat="1" ht="12" customHeight="1">
      <c r="B11" s="919"/>
      <c r="C11" s="20" t="s">
        <v>69</v>
      </c>
      <c r="D11" s="20"/>
      <c r="E11" s="20"/>
      <c r="G11" s="910">
        <f>-G9*G12</f>
        <v>4.3624999999999998</v>
      </c>
      <c r="H11" s="53">
        <f t="shared" ref="H11:L11" si="2">-H9*H12</f>
        <v>5.6840937500000015</v>
      </c>
      <c r="I11" s="26">
        <f t="shared" si="2"/>
        <v>11.00686372124999</v>
      </c>
      <c r="J11" s="26">
        <f t="shared" si="2"/>
        <v>7.640581254981738</v>
      </c>
      <c r="K11" s="26">
        <f t="shared" si="2"/>
        <v>2.2290989845830076</v>
      </c>
      <c r="L11" s="38">
        <f t="shared" si="2"/>
        <v>-1.9613538017119687</v>
      </c>
      <c r="M11" s="293"/>
      <c r="Z11" s="166"/>
      <c r="AA11" s="166"/>
      <c r="AB11" s="166"/>
      <c r="AC11" s="166"/>
      <c r="AD11" s="166"/>
      <c r="AE11" s="166"/>
      <c r="AF11" s="166"/>
      <c r="AG11" s="166"/>
      <c r="AH11" s="166"/>
    </row>
    <row r="12" spans="1:34" s="15" customFormat="1" ht="12" customHeight="1">
      <c r="B12" s="1293" t="s">
        <v>156</v>
      </c>
      <c r="C12" s="1294"/>
      <c r="D12" s="1295"/>
      <c r="E12" s="1295"/>
      <c r="F12" s="1294"/>
      <c r="G12" s="1296">
        <f>'F0b Planungsparameter'!H27</f>
        <v>2.5000000000000001E-3</v>
      </c>
      <c r="H12" s="1296">
        <f>'F0b Planungsparameter'!I27</f>
        <v>2.5000000000000001E-3</v>
      </c>
      <c r="I12" s="1296">
        <f>'F0b Planungsparameter'!J27</f>
        <v>5.0000000000000001E-3</v>
      </c>
      <c r="J12" s="1296">
        <f>'F0b Planungsparameter'!J27</f>
        <v>5.0000000000000001E-3</v>
      </c>
      <c r="K12" s="1296">
        <f>'F0b Planungsparameter'!K27</f>
        <v>5.0000000000000001E-3</v>
      </c>
      <c r="L12" s="1297">
        <f>'F0b Planungsparameter'!L27</f>
        <v>5.0000000000000001E-3</v>
      </c>
      <c r="M12" s="911"/>
      <c r="Z12" s="166"/>
      <c r="AA12" s="166"/>
      <c r="AB12" s="166"/>
      <c r="AC12" s="166"/>
      <c r="AD12" s="166"/>
      <c r="AE12" s="166"/>
      <c r="AF12" s="166"/>
      <c r="AG12" s="166"/>
      <c r="AH12" s="166"/>
    </row>
    <row r="13" spans="1:34" ht="18" customHeight="1">
      <c r="A13" s="2"/>
      <c r="B13" s="187" t="s">
        <v>53</v>
      </c>
      <c r="C13" s="196"/>
      <c r="D13" s="196"/>
      <c r="E13" s="196"/>
      <c r="F13" s="196"/>
      <c r="G13" s="6"/>
      <c r="H13" s="6"/>
      <c r="I13" s="6"/>
      <c r="J13" s="6"/>
      <c r="K13" s="6"/>
      <c r="L13" s="6"/>
      <c r="M13" s="24"/>
      <c r="N13" s="20"/>
      <c r="Z13" s="169"/>
      <c r="AA13" s="169"/>
      <c r="AB13" s="170">
        <f>Budget2</f>
        <v>2022</v>
      </c>
      <c r="AC13" s="171">
        <f>AB13+1</f>
        <v>2023</v>
      </c>
      <c r="AD13" s="171">
        <f>AC13+1</f>
        <v>2024</v>
      </c>
      <c r="AE13" s="171">
        <f>AD13+1</f>
        <v>2025</v>
      </c>
      <c r="AF13" s="171">
        <f t="shared" ref="AF13:AG13" si="3">AE13+1</f>
        <v>2026</v>
      </c>
      <c r="AG13" s="172">
        <f t="shared" si="3"/>
        <v>2027</v>
      </c>
      <c r="AH13" s="169"/>
    </row>
    <row r="14" spans="1:34" ht="12" customHeight="1">
      <c r="B14" s="43" t="s">
        <v>1</v>
      </c>
      <c r="C14" s="44"/>
      <c r="D14" s="44"/>
      <c r="E14" s="44"/>
      <c r="F14" s="45"/>
      <c r="G14" s="23"/>
      <c r="H14" s="905"/>
      <c r="I14" s="40"/>
      <c r="J14" s="40"/>
      <c r="K14" s="40"/>
      <c r="L14" s="40"/>
      <c r="M14" s="23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168"/>
      <c r="AA14" s="168"/>
      <c r="AB14" s="173"/>
      <c r="AC14" s="173"/>
      <c r="AD14" s="173"/>
      <c r="AE14" s="173"/>
      <c r="AF14" s="173"/>
      <c r="AG14" s="173"/>
      <c r="AH14" s="169"/>
    </row>
    <row r="15" spans="1:34" ht="12" customHeight="1">
      <c r="B15" s="5"/>
      <c r="C15" s="1461" t="s">
        <v>433</v>
      </c>
      <c r="D15" s="1461"/>
      <c r="E15" s="1461"/>
      <c r="F15" s="1462"/>
      <c r="G15" s="1085">
        <v>1000</v>
      </c>
      <c r="H15" s="1086"/>
      <c r="I15" s="982"/>
      <c r="J15" s="982"/>
      <c r="K15" s="982"/>
      <c r="L15" s="982"/>
      <c r="M15" s="1087">
        <v>5.4999999999999997E-3</v>
      </c>
      <c r="O15" s="1072" t="str">
        <f>IF(AND(SUM(G15:L15)&gt;0,M15=""),"Zinssatz eingeben!","")</f>
        <v/>
      </c>
      <c r="Z15" s="169"/>
      <c r="AA15" s="169"/>
      <c r="AB15" s="174">
        <f t="shared" ref="AB15:AG15" si="4">G15*(G$12-$M15)</f>
        <v>-2.9999999999999996</v>
      </c>
      <c r="AC15" s="174">
        <f t="shared" si="4"/>
        <v>0</v>
      </c>
      <c r="AD15" s="174">
        <f t="shared" si="4"/>
        <v>0</v>
      </c>
      <c r="AE15" s="174">
        <f t="shared" si="4"/>
        <v>0</v>
      </c>
      <c r="AF15" s="174">
        <f t="shared" si="4"/>
        <v>0</v>
      </c>
      <c r="AG15" s="176">
        <f t="shared" si="4"/>
        <v>0</v>
      </c>
      <c r="AH15" s="169"/>
    </row>
    <row r="16" spans="1:34" ht="12" customHeight="1">
      <c r="B16" s="25"/>
      <c r="C16" s="1457"/>
      <c r="D16" s="1457"/>
      <c r="E16" s="1457"/>
      <c r="F16" s="1460"/>
      <c r="G16" s="1085"/>
      <c r="H16" s="1086"/>
      <c r="I16" s="982"/>
      <c r="J16" s="982"/>
      <c r="K16" s="982"/>
      <c r="L16" s="982"/>
      <c r="M16" s="1087"/>
      <c r="O16" s="1072" t="str">
        <f t="shared" ref="O16:O31" si="5">IF(AND(SUM(G16:L16)&gt;0,M16=""),"Zinssatz eingeben!","")</f>
        <v/>
      </c>
      <c r="Z16" s="169"/>
      <c r="AA16" s="169"/>
      <c r="AB16" s="174">
        <f t="shared" ref="AB16:AB32" si="6">G16*(G$12-$M16)</f>
        <v>0</v>
      </c>
      <c r="AC16" s="174">
        <f t="shared" ref="AC16:AC32" si="7">H16*(H$12-$M16)</f>
        <v>0</v>
      </c>
      <c r="AD16" s="174">
        <f t="shared" ref="AD16:AD32" si="8">I16*(I$12-$M16)</f>
        <v>0</v>
      </c>
      <c r="AE16" s="174">
        <f t="shared" ref="AE16:AE32" si="9">J16*(J$12-$M16)</f>
        <v>0</v>
      </c>
      <c r="AF16" s="174">
        <f t="shared" ref="AF16:AF32" si="10">K16*(K$12-$M16)</f>
        <v>0</v>
      </c>
      <c r="AG16" s="176">
        <f t="shared" ref="AG16:AG32" si="11">L16*(L$12-$M16)</f>
        <v>0</v>
      </c>
      <c r="AH16" s="169"/>
    </row>
    <row r="17" spans="2:34" ht="12" customHeight="1">
      <c r="B17" s="25"/>
      <c r="C17" s="1457"/>
      <c r="D17" s="1457"/>
      <c r="E17" s="1457"/>
      <c r="F17" s="1460"/>
      <c r="G17" s="1085"/>
      <c r="H17" s="1086"/>
      <c r="I17" s="982"/>
      <c r="J17" s="982"/>
      <c r="K17" s="982"/>
      <c r="L17" s="982"/>
      <c r="M17" s="1087"/>
      <c r="O17" s="1072" t="str">
        <f t="shared" si="5"/>
        <v/>
      </c>
      <c r="Z17" s="169"/>
      <c r="AA17" s="169"/>
      <c r="AB17" s="174">
        <f t="shared" si="6"/>
        <v>0</v>
      </c>
      <c r="AC17" s="174">
        <f t="shared" si="7"/>
        <v>0</v>
      </c>
      <c r="AD17" s="174">
        <f t="shared" si="8"/>
        <v>0</v>
      </c>
      <c r="AE17" s="174">
        <f t="shared" si="9"/>
        <v>0</v>
      </c>
      <c r="AF17" s="174">
        <f t="shared" si="10"/>
        <v>0</v>
      </c>
      <c r="AG17" s="176">
        <f t="shared" si="11"/>
        <v>0</v>
      </c>
      <c r="AH17" s="169"/>
    </row>
    <row r="18" spans="2:34" ht="12" customHeight="1">
      <c r="B18" s="25"/>
      <c r="C18" s="1457"/>
      <c r="D18" s="1457"/>
      <c r="E18" s="1457"/>
      <c r="F18" s="1460"/>
      <c r="G18" s="1085"/>
      <c r="H18" s="1086"/>
      <c r="I18" s="982"/>
      <c r="J18" s="982"/>
      <c r="K18" s="982"/>
      <c r="L18" s="982"/>
      <c r="M18" s="1087"/>
      <c r="O18" s="1072" t="str">
        <f t="shared" si="5"/>
        <v/>
      </c>
      <c r="Z18" s="169"/>
      <c r="AA18" s="169"/>
      <c r="AB18" s="174">
        <f t="shared" si="6"/>
        <v>0</v>
      </c>
      <c r="AC18" s="174">
        <f t="shared" si="7"/>
        <v>0</v>
      </c>
      <c r="AD18" s="174">
        <f t="shared" si="8"/>
        <v>0</v>
      </c>
      <c r="AE18" s="174">
        <f t="shared" si="9"/>
        <v>0</v>
      </c>
      <c r="AF18" s="174">
        <f t="shared" si="10"/>
        <v>0</v>
      </c>
      <c r="AG18" s="176">
        <f t="shared" si="11"/>
        <v>0</v>
      </c>
      <c r="AH18" s="169"/>
    </row>
    <row r="19" spans="2:34" ht="12" customHeight="1">
      <c r="B19" s="25"/>
      <c r="C19" s="1455"/>
      <c r="D19" s="1455"/>
      <c r="E19" s="1455"/>
      <c r="F19" s="1456"/>
      <c r="G19" s="1088"/>
      <c r="H19" s="1089"/>
      <c r="I19" s="1090"/>
      <c r="J19" s="1090"/>
      <c r="K19" s="1090"/>
      <c r="L19" s="1090"/>
      <c r="M19" s="1091"/>
      <c r="O19" s="1072" t="str">
        <f t="shared" si="5"/>
        <v/>
      </c>
      <c r="Z19" s="169"/>
      <c r="AA19" s="169"/>
      <c r="AB19" s="174">
        <f t="shared" si="6"/>
        <v>0</v>
      </c>
      <c r="AC19" s="174">
        <f t="shared" si="7"/>
        <v>0</v>
      </c>
      <c r="AD19" s="174">
        <f t="shared" si="8"/>
        <v>0</v>
      </c>
      <c r="AE19" s="174">
        <f t="shared" si="9"/>
        <v>0</v>
      </c>
      <c r="AF19" s="174">
        <f t="shared" si="10"/>
        <v>0</v>
      </c>
      <c r="AG19" s="176">
        <f t="shared" si="11"/>
        <v>0</v>
      </c>
      <c r="AH19" s="169"/>
    </row>
    <row r="20" spans="2:34" ht="12" customHeight="1">
      <c r="B20" s="25"/>
      <c r="C20" s="1455"/>
      <c r="D20" s="1455"/>
      <c r="E20" s="1455"/>
      <c r="F20" s="1456"/>
      <c r="G20" s="1088"/>
      <c r="H20" s="1089"/>
      <c r="I20" s="1090"/>
      <c r="J20" s="1090"/>
      <c r="K20" s="1090"/>
      <c r="L20" s="1090"/>
      <c r="M20" s="1091"/>
      <c r="O20" s="1072" t="str">
        <f t="shared" si="5"/>
        <v/>
      </c>
      <c r="Z20" s="169"/>
      <c r="AA20" s="169"/>
      <c r="AB20" s="174">
        <f t="shared" si="6"/>
        <v>0</v>
      </c>
      <c r="AC20" s="174">
        <f t="shared" si="7"/>
        <v>0</v>
      </c>
      <c r="AD20" s="174">
        <f t="shared" si="8"/>
        <v>0</v>
      </c>
      <c r="AE20" s="174">
        <f t="shared" si="9"/>
        <v>0</v>
      </c>
      <c r="AF20" s="174">
        <f t="shared" si="10"/>
        <v>0</v>
      </c>
      <c r="AG20" s="176">
        <f t="shared" si="11"/>
        <v>0</v>
      </c>
      <c r="AH20" s="169"/>
    </row>
    <row r="21" spans="2:34" ht="12" customHeight="1">
      <c r="B21" s="25"/>
      <c r="C21" s="1455"/>
      <c r="D21" s="1455"/>
      <c r="E21" s="1455"/>
      <c r="F21" s="1456"/>
      <c r="G21" s="1088"/>
      <c r="H21" s="1089"/>
      <c r="I21" s="1090"/>
      <c r="J21" s="1090"/>
      <c r="K21" s="1090"/>
      <c r="L21" s="1090"/>
      <c r="M21" s="1091"/>
      <c r="O21" s="1072" t="str">
        <f t="shared" si="5"/>
        <v/>
      </c>
      <c r="Z21" s="169"/>
      <c r="AA21" s="169"/>
      <c r="AB21" s="174">
        <f t="shared" si="6"/>
        <v>0</v>
      </c>
      <c r="AC21" s="174">
        <f t="shared" si="7"/>
        <v>0</v>
      </c>
      <c r="AD21" s="174">
        <f t="shared" si="8"/>
        <v>0</v>
      </c>
      <c r="AE21" s="174">
        <f t="shared" si="9"/>
        <v>0</v>
      </c>
      <c r="AF21" s="174">
        <f t="shared" si="10"/>
        <v>0</v>
      </c>
      <c r="AG21" s="176">
        <f t="shared" si="11"/>
        <v>0</v>
      </c>
      <c r="AH21" s="169"/>
    </row>
    <row r="22" spans="2:34" ht="12" customHeight="1">
      <c r="B22" s="25"/>
      <c r="C22" s="1455"/>
      <c r="D22" s="1455"/>
      <c r="E22" s="1455"/>
      <c r="F22" s="1456"/>
      <c r="G22" s="1088"/>
      <c r="H22" s="1089"/>
      <c r="I22" s="1090"/>
      <c r="J22" s="1090"/>
      <c r="K22" s="1090"/>
      <c r="L22" s="1090"/>
      <c r="M22" s="1091"/>
      <c r="O22" s="1072" t="str">
        <f t="shared" si="5"/>
        <v/>
      </c>
      <c r="Z22" s="169"/>
      <c r="AA22" s="169"/>
      <c r="AB22" s="174">
        <f t="shared" si="6"/>
        <v>0</v>
      </c>
      <c r="AC22" s="174">
        <f t="shared" si="7"/>
        <v>0</v>
      </c>
      <c r="AD22" s="174">
        <f t="shared" si="8"/>
        <v>0</v>
      </c>
      <c r="AE22" s="174">
        <f t="shared" si="9"/>
        <v>0</v>
      </c>
      <c r="AF22" s="174">
        <f t="shared" si="10"/>
        <v>0</v>
      </c>
      <c r="AG22" s="176">
        <f t="shared" si="11"/>
        <v>0</v>
      </c>
      <c r="AH22" s="169"/>
    </row>
    <row r="23" spans="2:34" ht="12" customHeight="1">
      <c r="B23" s="25"/>
      <c r="C23" s="1455"/>
      <c r="D23" s="1455"/>
      <c r="E23" s="1455"/>
      <c r="F23" s="1456"/>
      <c r="G23" s="1088"/>
      <c r="H23" s="1089"/>
      <c r="I23" s="1090"/>
      <c r="J23" s="1090"/>
      <c r="K23" s="1090"/>
      <c r="L23" s="1090"/>
      <c r="M23" s="1091"/>
      <c r="O23" s="1072" t="str">
        <f t="shared" si="5"/>
        <v/>
      </c>
      <c r="Z23" s="169"/>
      <c r="AA23" s="169"/>
      <c r="AB23" s="174">
        <f t="shared" si="6"/>
        <v>0</v>
      </c>
      <c r="AC23" s="174">
        <f t="shared" si="7"/>
        <v>0</v>
      </c>
      <c r="AD23" s="174">
        <f t="shared" si="8"/>
        <v>0</v>
      </c>
      <c r="AE23" s="174">
        <f t="shared" si="9"/>
        <v>0</v>
      </c>
      <c r="AF23" s="174">
        <f t="shared" si="10"/>
        <v>0</v>
      </c>
      <c r="AG23" s="176">
        <f t="shared" si="11"/>
        <v>0</v>
      </c>
      <c r="AH23" s="169"/>
    </row>
    <row r="24" spans="2:34" ht="12" customHeight="1">
      <c r="B24" s="25"/>
      <c r="C24" s="1455"/>
      <c r="D24" s="1455"/>
      <c r="E24" s="1455"/>
      <c r="F24" s="1456"/>
      <c r="G24" s="1088"/>
      <c r="H24" s="1089"/>
      <c r="I24" s="1090"/>
      <c r="J24" s="1090"/>
      <c r="K24" s="1090"/>
      <c r="L24" s="1090"/>
      <c r="M24" s="1091"/>
      <c r="O24" s="1072" t="str">
        <f t="shared" si="5"/>
        <v/>
      </c>
      <c r="Z24" s="169"/>
      <c r="AA24" s="169"/>
      <c r="AB24" s="174">
        <f t="shared" si="6"/>
        <v>0</v>
      </c>
      <c r="AC24" s="174">
        <f t="shared" si="7"/>
        <v>0</v>
      </c>
      <c r="AD24" s="174">
        <f t="shared" si="8"/>
        <v>0</v>
      </c>
      <c r="AE24" s="174">
        <f t="shared" si="9"/>
        <v>0</v>
      </c>
      <c r="AF24" s="174">
        <f t="shared" si="10"/>
        <v>0</v>
      </c>
      <c r="AG24" s="176">
        <f t="shared" si="11"/>
        <v>0</v>
      </c>
      <c r="AH24" s="169"/>
    </row>
    <row r="25" spans="2:34" ht="12" customHeight="1">
      <c r="B25" s="25"/>
      <c r="C25" s="1455"/>
      <c r="D25" s="1455"/>
      <c r="E25" s="1455"/>
      <c r="F25" s="1456"/>
      <c r="G25" s="1088"/>
      <c r="H25" s="1089"/>
      <c r="I25" s="1090"/>
      <c r="J25" s="1090"/>
      <c r="K25" s="1090"/>
      <c r="L25" s="1090"/>
      <c r="M25" s="1091"/>
      <c r="O25" s="1072" t="str">
        <f t="shared" si="5"/>
        <v/>
      </c>
      <c r="Z25" s="169"/>
      <c r="AA25" s="169"/>
      <c r="AB25" s="174">
        <f t="shared" si="6"/>
        <v>0</v>
      </c>
      <c r="AC25" s="174">
        <f t="shared" si="7"/>
        <v>0</v>
      </c>
      <c r="AD25" s="174">
        <f t="shared" si="8"/>
        <v>0</v>
      </c>
      <c r="AE25" s="174">
        <f t="shared" si="9"/>
        <v>0</v>
      </c>
      <c r="AF25" s="174">
        <f t="shared" si="10"/>
        <v>0</v>
      </c>
      <c r="AG25" s="176">
        <f t="shared" si="11"/>
        <v>0</v>
      </c>
      <c r="AH25" s="169"/>
    </row>
    <row r="26" spans="2:34" ht="12" customHeight="1">
      <c r="B26" s="25"/>
      <c r="C26" s="1455"/>
      <c r="D26" s="1455"/>
      <c r="E26" s="1455"/>
      <c r="F26" s="1456"/>
      <c r="G26" s="1088"/>
      <c r="H26" s="1089"/>
      <c r="I26" s="1090"/>
      <c r="J26" s="1090"/>
      <c r="K26" s="1090"/>
      <c r="L26" s="1090"/>
      <c r="M26" s="1091"/>
      <c r="O26" s="1072" t="str">
        <f t="shared" si="5"/>
        <v/>
      </c>
      <c r="Z26" s="169"/>
      <c r="AA26" s="169"/>
      <c r="AB26" s="174">
        <f t="shared" si="6"/>
        <v>0</v>
      </c>
      <c r="AC26" s="174">
        <f t="shared" si="7"/>
        <v>0</v>
      </c>
      <c r="AD26" s="174">
        <f t="shared" si="8"/>
        <v>0</v>
      </c>
      <c r="AE26" s="174">
        <f t="shared" si="9"/>
        <v>0</v>
      </c>
      <c r="AF26" s="174">
        <f t="shared" si="10"/>
        <v>0</v>
      </c>
      <c r="AG26" s="176">
        <f t="shared" si="11"/>
        <v>0</v>
      </c>
      <c r="AH26" s="169"/>
    </row>
    <row r="27" spans="2:34" ht="12" customHeight="1">
      <c r="B27" s="25"/>
      <c r="C27" s="1455"/>
      <c r="D27" s="1455"/>
      <c r="E27" s="1455"/>
      <c r="F27" s="1456"/>
      <c r="G27" s="1088"/>
      <c r="H27" s="1089"/>
      <c r="I27" s="1090"/>
      <c r="J27" s="1090"/>
      <c r="K27" s="1090"/>
      <c r="L27" s="1090"/>
      <c r="M27" s="1091"/>
      <c r="O27" s="1072" t="str">
        <f t="shared" si="5"/>
        <v/>
      </c>
      <c r="Z27" s="169"/>
      <c r="AA27" s="169"/>
      <c r="AB27" s="174">
        <f t="shared" si="6"/>
        <v>0</v>
      </c>
      <c r="AC27" s="174">
        <f t="shared" si="7"/>
        <v>0</v>
      </c>
      <c r="AD27" s="174">
        <f t="shared" si="8"/>
        <v>0</v>
      </c>
      <c r="AE27" s="174">
        <f t="shared" si="9"/>
        <v>0</v>
      </c>
      <c r="AF27" s="174">
        <f t="shared" si="10"/>
        <v>0</v>
      </c>
      <c r="AG27" s="176">
        <f t="shared" si="11"/>
        <v>0</v>
      </c>
      <c r="AH27" s="169"/>
    </row>
    <row r="28" spans="2:34" ht="12" customHeight="1">
      <c r="B28" s="25"/>
      <c r="C28" s="1455"/>
      <c r="D28" s="1455"/>
      <c r="E28" s="1455"/>
      <c r="F28" s="1456"/>
      <c r="G28" s="1088"/>
      <c r="H28" s="1089"/>
      <c r="I28" s="1090"/>
      <c r="J28" s="1090"/>
      <c r="K28" s="1090"/>
      <c r="L28" s="1090"/>
      <c r="M28" s="1091"/>
      <c r="O28" s="1072" t="str">
        <f t="shared" si="5"/>
        <v/>
      </c>
      <c r="Z28" s="169"/>
      <c r="AA28" s="169"/>
      <c r="AB28" s="174">
        <f t="shared" si="6"/>
        <v>0</v>
      </c>
      <c r="AC28" s="174">
        <f t="shared" si="7"/>
        <v>0</v>
      </c>
      <c r="AD28" s="174">
        <f t="shared" si="8"/>
        <v>0</v>
      </c>
      <c r="AE28" s="174">
        <f t="shared" si="9"/>
        <v>0</v>
      </c>
      <c r="AF28" s="174">
        <f t="shared" si="10"/>
        <v>0</v>
      </c>
      <c r="AG28" s="176">
        <f t="shared" si="11"/>
        <v>0</v>
      </c>
      <c r="AH28" s="169"/>
    </row>
    <row r="29" spans="2:34" ht="12" customHeight="1">
      <c r="B29" s="25"/>
      <c r="C29" s="1455"/>
      <c r="D29" s="1455"/>
      <c r="E29" s="1455"/>
      <c r="F29" s="1456"/>
      <c r="G29" s="1088"/>
      <c r="H29" s="1089"/>
      <c r="I29" s="1090"/>
      <c r="J29" s="1090"/>
      <c r="K29" s="1090"/>
      <c r="L29" s="1090"/>
      <c r="M29" s="1091"/>
      <c r="O29" s="1072" t="str">
        <f t="shared" si="5"/>
        <v/>
      </c>
      <c r="Z29" s="169"/>
      <c r="AA29" s="169"/>
      <c r="AB29" s="174">
        <f t="shared" si="6"/>
        <v>0</v>
      </c>
      <c r="AC29" s="174">
        <f t="shared" si="7"/>
        <v>0</v>
      </c>
      <c r="AD29" s="174">
        <f t="shared" si="8"/>
        <v>0</v>
      </c>
      <c r="AE29" s="174">
        <f t="shared" si="9"/>
        <v>0</v>
      </c>
      <c r="AF29" s="174">
        <f t="shared" si="10"/>
        <v>0</v>
      </c>
      <c r="AG29" s="176">
        <f t="shared" si="11"/>
        <v>0</v>
      </c>
      <c r="AH29" s="169"/>
    </row>
    <row r="30" spans="2:34" ht="12" customHeight="1">
      <c r="B30" s="25"/>
      <c r="C30" s="1455"/>
      <c r="D30" s="1455"/>
      <c r="E30" s="1455"/>
      <c r="F30" s="1456"/>
      <c r="G30" s="1088"/>
      <c r="H30" s="1089"/>
      <c r="I30" s="1090"/>
      <c r="J30" s="1090"/>
      <c r="K30" s="1090"/>
      <c r="L30" s="1090"/>
      <c r="M30" s="1091"/>
      <c r="O30" s="1072" t="str">
        <f t="shared" si="5"/>
        <v/>
      </c>
      <c r="Z30" s="169"/>
      <c r="AA30" s="169"/>
      <c r="AB30" s="174">
        <f t="shared" si="6"/>
        <v>0</v>
      </c>
      <c r="AC30" s="174">
        <f t="shared" si="7"/>
        <v>0</v>
      </c>
      <c r="AD30" s="174">
        <f t="shared" si="8"/>
        <v>0</v>
      </c>
      <c r="AE30" s="174">
        <f t="shared" si="9"/>
        <v>0</v>
      </c>
      <c r="AF30" s="174">
        <f t="shared" si="10"/>
        <v>0</v>
      </c>
      <c r="AG30" s="176">
        <f t="shared" si="11"/>
        <v>0</v>
      </c>
      <c r="AH30" s="169"/>
    </row>
    <row r="31" spans="2:34" ht="12" customHeight="1">
      <c r="B31" s="25"/>
      <c r="C31" s="1455"/>
      <c r="D31" s="1455"/>
      <c r="E31" s="1455"/>
      <c r="F31" s="1456"/>
      <c r="G31" s="1088"/>
      <c r="H31" s="1089"/>
      <c r="I31" s="1090"/>
      <c r="J31" s="1090"/>
      <c r="K31" s="1090"/>
      <c r="L31" s="1090"/>
      <c r="M31" s="1091"/>
      <c r="O31" s="1072" t="str">
        <f t="shared" si="5"/>
        <v/>
      </c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175"/>
      <c r="AA31" s="175"/>
      <c r="AB31" s="174">
        <f t="shared" si="6"/>
        <v>0</v>
      </c>
      <c r="AC31" s="174">
        <f t="shared" si="7"/>
        <v>0</v>
      </c>
      <c r="AD31" s="174">
        <f t="shared" si="8"/>
        <v>0</v>
      </c>
      <c r="AE31" s="174">
        <f t="shared" si="9"/>
        <v>0</v>
      </c>
      <c r="AF31" s="174">
        <f t="shared" si="10"/>
        <v>0</v>
      </c>
      <c r="AG31" s="176">
        <f t="shared" si="11"/>
        <v>0</v>
      </c>
      <c r="AH31" s="169"/>
    </row>
    <row r="32" spans="2:34" ht="6" customHeight="1">
      <c r="B32" s="25"/>
      <c r="C32" s="20"/>
      <c r="D32" s="20"/>
      <c r="E32" s="20"/>
      <c r="F32" s="20"/>
      <c r="G32" s="908"/>
      <c r="H32" s="906"/>
      <c r="I32" s="41"/>
      <c r="J32" s="41"/>
      <c r="K32" s="41"/>
      <c r="L32" s="41"/>
      <c r="M32" s="42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175"/>
      <c r="AA32" s="175"/>
      <c r="AB32" s="174">
        <f t="shared" si="6"/>
        <v>0</v>
      </c>
      <c r="AC32" s="174">
        <f t="shared" si="7"/>
        <v>0</v>
      </c>
      <c r="AD32" s="174">
        <f t="shared" si="8"/>
        <v>0</v>
      </c>
      <c r="AE32" s="174">
        <f t="shared" si="9"/>
        <v>0</v>
      </c>
      <c r="AF32" s="174">
        <f t="shared" si="10"/>
        <v>0</v>
      </c>
      <c r="AG32" s="176">
        <f t="shared" si="11"/>
        <v>0</v>
      </c>
      <c r="AH32" s="169"/>
    </row>
    <row r="33" spans="1:34" ht="12" customHeight="1">
      <c r="B33" s="43" t="s">
        <v>7</v>
      </c>
      <c r="C33" s="44"/>
      <c r="D33" s="44"/>
      <c r="E33" s="44"/>
      <c r="F33" s="45"/>
      <c r="G33" s="909"/>
      <c r="H33" s="907"/>
      <c r="I33" s="46"/>
      <c r="J33" s="46"/>
      <c r="K33" s="46"/>
      <c r="L33" s="46"/>
      <c r="M33" s="57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175"/>
      <c r="AA33" s="175"/>
      <c r="AB33" s="177">
        <f t="shared" ref="AB33:AG33" si="12">SUM(AB15:AB31)</f>
        <v>-2.9999999999999996</v>
      </c>
      <c r="AC33" s="177">
        <f t="shared" si="12"/>
        <v>0</v>
      </c>
      <c r="AD33" s="177">
        <f t="shared" si="12"/>
        <v>0</v>
      </c>
      <c r="AE33" s="177">
        <f t="shared" si="12"/>
        <v>0</v>
      </c>
      <c r="AF33" s="177">
        <f t="shared" si="12"/>
        <v>0</v>
      </c>
      <c r="AG33" s="177">
        <f t="shared" si="12"/>
        <v>0</v>
      </c>
      <c r="AH33" s="169"/>
    </row>
    <row r="34" spans="1:34" ht="12" customHeight="1">
      <c r="B34" s="25"/>
      <c r="C34" s="1455"/>
      <c r="D34" s="1455"/>
      <c r="E34" s="1455"/>
      <c r="F34" s="1456"/>
      <c r="G34" s="1088"/>
      <c r="H34" s="1089"/>
      <c r="I34" s="1090"/>
      <c r="J34" s="1090"/>
      <c r="K34" s="1090"/>
      <c r="L34" s="1090"/>
      <c r="M34" s="42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175"/>
      <c r="AA34" s="175"/>
      <c r="AB34" s="167"/>
      <c r="AC34" s="167"/>
      <c r="AD34" s="167"/>
      <c r="AE34" s="167"/>
      <c r="AF34" s="167"/>
      <c r="AG34" s="167"/>
      <c r="AH34" s="169"/>
    </row>
    <row r="35" spans="1:34" ht="12" customHeight="1">
      <c r="B35" s="25"/>
      <c r="C35" s="1457"/>
      <c r="D35" s="1455"/>
      <c r="E35" s="1455"/>
      <c r="F35" s="1456"/>
      <c r="G35" s="1088"/>
      <c r="H35" s="1089"/>
      <c r="I35" s="1090"/>
      <c r="J35" s="1090"/>
      <c r="K35" s="1090"/>
      <c r="L35" s="1090"/>
      <c r="M35" s="42"/>
      <c r="Z35" s="169"/>
      <c r="AA35" s="169"/>
      <c r="AB35" s="169"/>
      <c r="AC35" s="169"/>
      <c r="AD35" s="169"/>
      <c r="AE35" s="169"/>
      <c r="AF35" s="169"/>
      <c r="AG35" s="169"/>
      <c r="AH35" s="169"/>
    </row>
    <row r="36" spans="1:34" ht="12" customHeight="1">
      <c r="B36" s="25"/>
      <c r="C36" s="1455"/>
      <c r="D36" s="1455"/>
      <c r="E36" s="1455"/>
      <c r="F36" s="1456"/>
      <c r="G36" s="1088"/>
      <c r="H36" s="1089"/>
      <c r="I36" s="1090"/>
      <c r="J36" s="1090"/>
      <c r="K36" s="1090"/>
      <c r="L36" s="1090"/>
      <c r="M36" s="42"/>
      <c r="Z36" s="169"/>
      <c r="AA36" s="169"/>
      <c r="AB36" s="169"/>
      <c r="AC36" s="169"/>
      <c r="AD36" s="169"/>
      <c r="AE36" s="169"/>
      <c r="AF36" s="169"/>
      <c r="AG36" s="169"/>
      <c r="AH36" s="169"/>
    </row>
    <row r="37" spans="1:34" ht="12" customHeight="1">
      <c r="B37" s="25"/>
      <c r="C37" s="1455"/>
      <c r="D37" s="1455"/>
      <c r="E37" s="1455"/>
      <c r="F37" s="1456"/>
      <c r="G37" s="1088"/>
      <c r="H37" s="1089"/>
      <c r="I37" s="1090"/>
      <c r="J37" s="1090"/>
      <c r="K37" s="1090"/>
      <c r="L37" s="1090"/>
      <c r="M37" s="42"/>
      <c r="Z37" s="169"/>
      <c r="AA37" s="169"/>
      <c r="AB37" s="169"/>
      <c r="AC37" s="169"/>
      <c r="AD37" s="169"/>
      <c r="AE37" s="169"/>
      <c r="AF37" s="169"/>
      <c r="AG37" s="169"/>
      <c r="AH37" s="169"/>
    </row>
    <row r="38" spans="1:34" ht="6" customHeight="1">
      <c r="B38" s="25"/>
      <c r="C38" s="20"/>
      <c r="D38" s="20"/>
      <c r="E38" s="20"/>
      <c r="F38" s="20"/>
      <c r="G38" s="908"/>
      <c r="H38" s="906"/>
      <c r="I38" s="41"/>
      <c r="J38" s="41"/>
      <c r="K38" s="41"/>
      <c r="L38" s="41"/>
      <c r="M38" s="42"/>
      <c r="Z38" s="169"/>
      <c r="AA38" s="169"/>
      <c r="AB38" s="169"/>
      <c r="AC38" s="169"/>
      <c r="AD38" s="169"/>
      <c r="AE38" s="169"/>
      <c r="AF38" s="169"/>
      <c r="AG38" s="169"/>
      <c r="AH38" s="169"/>
    </row>
    <row r="39" spans="1:34" ht="12" customHeight="1">
      <c r="B39" s="60" t="s">
        <v>194</v>
      </c>
      <c r="C39" s="22"/>
      <c r="D39" s="22"/>
      <c r="E39" s="22"/>
      <c r="F39" s="22"/>
      <c r="G39" s="909"/>
      <c r="H39" s="907"/>
      <c r="I39" s="46"/>
      <c r="J39" s="46"/>
      <c r="K39" s="46"/>
      <c r="L39" s="46"/>
      <c r="M39" s="57"/>
      <c r="Z39" s="169"/>
      <c r="AA39" s="169"/>
      <c r="AB39" s="169"/>
      <c r="AC39" s="169"/>
      <c r="AD39" s="169"/>
      <c r="AE39" s="169"/>
      <c r="AF39" s="169"/>
      <c r="AG39" s="169"/>
      <c r="AH39" s="169"/>
    </row>
    <row r="40" spans="1:34" ht="12" customHeight="1">
      <c r="B40" s="5" t="s">
        <v>195</v>
      </c>
      <c r="C40" s="20"/>
      <c r="D40" s="20"/>
      <c r="E40" s="20"/>
      <c r="F40" s="20"/>
      <c r="G40" s="912">
        <f t="shared" ref="G40:L40" si="13">AB33-SUM(G34:G37)*G12</f>
        <v>-2.9999999999999996</v>
      </c>
      <c r="H40" s="913">
        <f t="shared" si="13"/>
        <v>0</v>
      </c>
      <c r="I40" s="913">
        <f t="shared" si="13"/>
        <v>0</v>
      </c>
      <c r="J40" s="913">
        <f t="shared" si="13"/>
        <v>0</v>
      </c>
      <c r="K40" s="913">
        <f t="shared" si="13"/>
        <v>0</v>
      </c>
      <c r="L40" s="913">
        <f t="shared" si="13"/>
        <v>0</v>
      </c>
      <c r="M40" s="914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168"/>
      <c r="AA40" s="168"/>
      <c r="AB40" s="169"/>
      <c r="AC40" s="169"/>
      <c r="AD40" s="169"/>
      <c r="AE40" s="169"/>
      <c r="AF40" s="169"/>
      <c r="AG40" s="169"/>
      <c r="AH40" s="169"/>
    </row>
    <row r="41" spans="1:34" s="30" customFormat="1" ht="18" customHeight="1">
      <c r="A41" s="31"/>
      <c r="B41" s="915" t="s">
        <v>12</v>
      </c>
      <c r="C41" s="916"/>
      <c r="D41" s="916"/>
      <c r="E41" s="916"/>
      <c r="F41" s="916"/>
      <c r="G41" s="916"/>
      <c r="H41" s="916"/>
      <c r="I41" s="916"/>
      <c r="J41" s="916"/>
      <c r="K41" s="916"/>
      <c r="L41" s="916"/>
      <c r="M41" s="917"/>
      <c r="N41" s="31"/>
      <c r="Z41" s="178"/>
      <c r="AA41" s="178"/>
      <c r="AB41" s="179">
        <f>Budget2</f>
        <v>2022</v>
      </c>
      <c r="AC41" s="180">
        <f>AB41+1</f>
        <v>2023</v>
      </c>
      <c r="AD41" s="180">
        <f>AC41+1</f>
        <v>2024</v>
      </c>
      <c r="AE41" s="180">
        <f t="shared" ref="AE41:AG41" si="14">AD41+1</f>
        <v>2025</v>
      </c>
      <c r="AF41" s="180">
        <f t="shared" si="14"/>
        <v>2026</v>
      </c>
      <c r="AG41" s="181">
        <f t="shared" si="14"/>
        <v>2027</v>
      </c>
      <c r="AH41" s="178"/>
    </row>
    <row r="42" spans="1:34" ht="12" customHeight="1">
      <c r="A42" s="19"/>
      <c r="B42" s="188" t="s">
        <v>52</v>
      </c>
      <c r="C42" s="189"/>
      <c r="D42" s="189"/>
      <c r="E42" s="189"/>
      <c r="F42" s="190"/>
      <c r="G42" s="191"/>
      <c r="H42" s="192"/>
      <c r="I42" s="193"/>
      <c r="J42" s="193"/>
      <c r="K42" s="193"/>
      <c r="L42" s="193"/>
      <c r="M42" s="23"/>
      <c r="Z42" s="169"/>
      <c r="AA42" s="169"/>
      <c r="AB42" s="173"/>
      <c r="AC42" s="173"/>
      <c r="AD42" s="173"/>
      <c r="AE42" s="173"/>
      <c r="AF42" s="173"/>
      <c r="AG42" s="173"/>
      <c r="AH42" s="169"/>
    </row>
    <row r="43" spans="1:34" ht="12" customHeight="1">
      <c r="A43" s="19"/>
      <c r="B43" s="25"/>
      <c r="C43" s="1455"/>
      <c r="D43" s="1455"/>
      <c r="E43" s="1455"/>
      <c r="F43" s="1456"/>
      <c r="G43" s="1088"/>
      <c r="H43" s="1089"/>
      <c r="I43" s="1090"/>
      <c r="J43" s="1090"/>
      <c r="K43" s="1090"/>
      <c r="L43" s="1090"/>
      <c r="M43" s="1091"/>
      <c r="O43" s="1072" t="str">
        <f>IF(AND(SUM(G43:L43)&gt;0,M43=""),"Zinssatz bzw. falls kein Zins 0.00% eingeben!","")</f>
        <v/>
      </c>
      <c r="Z43" s="169"/>
      <c r="AA43" s="169"/>
      <c r="AB43" s="176">
        <f t="shared" ref="AB43:AG43" si="15">G43*($M43-G$12)</f>
        <v>0</v>
      </c>
      <c r="AC43" s="176">
        <f t="shared" si="15"/>
        <v>0</v>
      </c>
      <c r="AD43" s="176">
        <f t="shared" si="15"/>
        <v>0</v>
      </c>
      <c r="AE43" s="176">
        <f t="shared" si="15"/>
        <v>0</v>
      </c>
      <c r="AF43" s="176">
        <f t="shared" si="15"/>
        <v>0</v>
      </c>
      <c r="AG43" s="176">
        <f t="shared" si="15"/>
        <v>0</v>
      </c>
      <c r="AH43" s="169"/>
    </row>
    <row r="44" spans="1:34" ht="22.5" customHeight="1">
      <c r="A44" s="19"/>
      <c r="B44" s="25"/>
      <c r="C44" s="1458"/>
      <c r="D44" s="1458"/>
      <c r="E44" s="1458"/>
      <c r="F44" s="1459"/>
      <c r="G44" s="1085"/>
      <c r="H44" s="1086"/>
      <c r="I44" s="982"/>
      <c r="J44" s="982"/>
      <c r="K44" s="982"/>
      <c r="L44" s="982"/>
      <c r="M44" s="1087"/>
      <c r="O44" s="1072" t="str">
        <f t="shared" ref="O44:O47" si="16">IF(AND(SUM(G44:L44)&gt;0,M44=""),"Zinssatz bzw. falls kein Zins 0.00% eingeben!","")</f>
        <v/>
      </c>
      <c r="Z44" s="169"/>
      <c r="AA44" s="169"/>
      <c r="AB44" s="176">
        <f t="shared" ref="AB44:AB47" si="17">G44*($M44-G$12)</f>
        <v>0</v>
      </c>
      <c r="AC44" s="176">
        <f t="shared" ref="AC44:AC47" si="18">H44*($M44-H$12)</f>
        <v>0</v>
      </c>
      <c r="AD44" s="176">
        <f t="shared" ref="AD44:AD47" si="19">I44*($M44-I$12)</f>
        <v>0</v>
      </c>
      <c r="AE44" s="176">
        <f t="shared" ref="AE44:AE47" si="20">J44*($M44-J$12)</f>
        <v>0</v>
      </c>
      <c r="AF44" s="176">
        <f t="shared" ref="AF44:AF47" si="21">K44*($M44-K$12)</f>
        <v>0</v>
      </c>
      <c r="AG44" s="176">
        <f t="shared" ref="AG44:AG47" si="22">L44*($M44-L$12)</f>
        <v>0</v>
      </c>
      <c r="AH44" s="169"/>
    </row>
    <row r="45" spans="1:34" ht="12" customHeight="1">
      <c r="A45" s="19"/>
      <c r="B45" s="25"/>
      <c r="C45" s="1455"/>
      <c r="D45" s="1455"/>
      <c r="E45" s="1455"/>
      <c r="F45" s="1456"/>
      <c r="G45" s="1088"/>
      <c r="H45" s="1089"/>
      <c r="I45" s="1090"/>
      <c r="J45" s="1090"/>
      <c r="K45" s="1090"/>
      <c r="L45" s="1090"/>
      <c r="M45" s="1091"/>
      <c r="O45" s="1072" t="str">
        <f t="shared" si="16"/>
        <v/>
      </c>
      <c r="Z45" s="169"/>
      <c r="AA45" s="169"/>
      <c r="AB45" s="176">
        <f t="shared" si="17"/>
        <v>0</v>
      </c>
      <c r="AC45" s="176">
        <f t="shared" si="18"/>
        <v>0</v>
      </c>
      <c r="AD45" s="176">
        <f t="shared" si="19"/>
        <v>0</v>
      </c>
      <c r="AE45" s="176">
        <f t="shared" si="20"/>
        <v>0</v>
      </c>
      <c r="AF45" s="176">
        <f t="shared" si="21"/>
        <v>0</v>
      </c>
      <c r="AG45" s="176">
        <f t="shared" si="22"/>
        <v>0</v>
      </c>
      <c r="AH45" s="169"/>
    </row>
    <row r="46" spans="1:34" ht="12" customHeight="1">
      <c r="A46" s="19"/>
      <c r="B46" s="25"/>
      <c r="C46" s="1455"/>
      <c r="D46" s="1455"/>
      <c r="E46" s="1455"/>
      <c r="F46" s="1456"/>
      <c r="G46" s="1088"/>
      <c r="H46" s="1089"/>
      <c r="I46" s="1090"/>
      <c r="J46" s="1090"/>
      <c r="K46" s="1090"/>
      <c r="L46" s="1090"/>
      <c r="M46" s="1091"/>
      <c r="O46" s="1072" t="str">
        <f t="shared" si="16"/>
        <v/>
      </c>
      <c r="Z46" s="169"/>
      <c r="AA46" s="169"/>
      <c r="AB46" s="176">
        <f t="shared" si="17"/>
        <v>0</v>
      </c>
      <c r="AC46" s="176">
        <f t="shared" si="18"/>
        <v>0</v>
      </c>
      <c r="AD46" s="176">
        <f t="shared" si="19"/>
        <v>0</v>
      </c>
      <c r="AE46" s="176">
        <f t="shared" si="20"/>
        <v>0</v>
      </c>
      <c r="AF46" s="176">
        <f t="shared" si="21"/>
        <v>0</v>
      </c>
      <c r="AG46" s="176">
        <f t="shared" si="22"/>
        <v>0</v>
      </c>
      <c r="AH46" s="169"/>
    </row>
    <row r="47" spans="1:34" ht="12" customHeight="1">
      <c r="A47" s="19"/>
      <c r="B47" s="25"/>
      <c r="C47" s="1455"/>
      <c r="D47" s="1455"/>
      <c r="E47" s="1455"/>
      <c r="F47" s="1456"/>
      <c r="G47" s="1088"/>
      <c r="H47" s="1089"/>
      <c r="I47" s="1090"/>
      <c r="J47" s="1090"/>
      <c r="K47" s="1090"/>
      <c r="L47" s="1090"/>
      <c r="M47" s="1091"/>
      <c r="O47" s="1072" t="str">
        <f t="shared" si="16"/>
        <v/>
      </c>
      <c r="Z47" s="169"/>
      <c r="AA47" s="169"/>
      <c r="AB47" s="176">
        <f t="shared" si="17"/>
        <v>0</v>
      </c>
      <c r="AC47" s="176">
        <f t="shared" si="18"/>
        <v>0</v>
      </c>
      <c r="AD47" s="176">
        <f t="shared" si="19"/>
        <v>0</v>
      </c>
      <c r="AE47" s="176">
        <f t="shared" si="20"/>
        <v>0</v>
      </c>
      <c r="AF47" s="176">
        <f t="shared" si="21"/>
        <v>0</v>
      </c>
      <c r="AG47" s="176">
        <f t="shared" si="22"/>
        <v>0</v>
      </c>
      <c r="AH47" s="169"/>
    </row>
    <row r="48" spans="1:34" ht="14.1" customHeight="1">
      <c r="A48" s="19"/>
      <c r="B48" s="25"/>
      <c r="C48" s="20"/>
      <c r="D48" s="20"/>
      <c r="E48" s="20"/>
      <c r="F48" s="20"/>
      <c r="G48" s="908"/>
      <c r="H48" s="906"/>
      <c r="I48" s="41"/>
      <c r="J48" s="41"/>
      <c r="K48" s="41"/>
      <c r="L48" s="41"/>
      <c r="M48" s="42"/>
      <c r="Z48" s="169"/>
      <c r="AA48" s="169"/>
      <c r="AB48" s="177">
        <f t="shared" ref="AB48:AG48" si="23">SUM(AB43:AB47)</f>
        <v>0</v>
      </c>
      <c r="AC48" s="177">
        <f t="shared" si="23"/>
        <v>0</v>
      </c>
      <c r="AD48" s="177">
        <f t="shared" si="23"/>
        <v>0</v>
      </c>
      <c r="AE48" s="177">
        <f t="shared" si="23"/>
        <v>0</v>
      </c>
      <c r="AF48" s="177">
        <f t="shared" si="23"/>
        <v>0</v>
      </c>
      <c r="AG48" s="177">
        <f t="shared" si="23"/>
        <v>0</v>
      </c>
      <c r="AH48" s="169"/>
    </row>
    <row r="49" spans="1:34" ht="12" customHeight="1">
      <c r="A49" s="19"/>
      <c r="B49" s="198" t="s">
        <v>65</v>
      </c>
      <c r="C49" s="197"/>
      <c r="D49" s="189"/>
      <c r="E49" s="189"/>
      <c r="F49" s="190"/>
      <c r="G49" s="909"/>
      <c r="H49" s="907"/>
      <c r="I49" s="46"/>
      <c r="J49" s="46"/>
      <c r="K49" s="46"/>
      <c r="L49" s="46"/>
      <c r="M49" s="23"/>
      <c r="Z49" s="169"/>
      <c r="AA49" s="169"/>
      <c r="AB49" s="294"/>
      <c r="AC49" s="294"/>
      <c r="AD49" s="294"/>
      <c r="AE49" s="294"/>
      <c r="AF49" s="294"/>
      <c r="AG49" s="294"/>
      <c r="AH49" s="169"/>
    </row>
    <row r="50" spans="1:34" ht="12" customHeight="1">
      <c r="A50" s="19"/>
      <c r="B50" s="25"/>
      <c r="C50" s="1455"/>
      <c r="D50" s="1455"/>
      <c r="E50" s="1455"/>
      <c r="F50" s="1456"/>
      <c r="G50" s="1088"/>
      <c r="H50" s="1089"/>
      <c r="I50" s="1090"/>
      <c r="J50" s="1090"/>
      <c r="K50" s="1090"/>
      <c r="L50" s="1090"/>
      <c r="M50" s="1091"/>
      <c r="O50" s="1072" t="str">
        <f t="shared" ref="O50:O54" si="24">IF(AND(SUM(G50:L50)&gt;0,M50=""),"Zinssatz bzw. falls kein Zins 0.00% eingeben!","")</f>
        <v/>
      </c>
      <c r="Z50" s="169"/>
      <c r="AA50" s="169"/>
      <c r="AB50" s="174">
        <f t="shared" ref="AB50:AG50" si="25">G50*(G$12-$M50)</f>
        <v>0</v>
      </c>
      <c r="AC50" s="174">
        <f t="shared" si="25"/>
        <v>0</v>
      </c>
      <c r="AD50" s="174">
        <f t="shared" si="25"/>
        <v>0</v>
      </c>
      <c r="AE50" s="174">
        <f t="shared" si="25"/>
        <v>0</v>
      </c>
      <c r="AF50" s="174">
        <f t="shared" si="25"/>
        <v>0</v>
      </c>
      <c r="AG50" s="176">
        <f t="shared" si="25"/>
        <v>0</v>
      </c>
      <c r="AH50" s="169"/>
    </row>
    <row r="51" spans="1:34" ht="12" customHeight="1">
      <c r="A51" s="19"/>
      <c r="B51" s="25"/>
      <c r="C51" s="1457"/>
      <c r="D51" s="1457"/>
      <c r="E51" s="1457"/>
      <c r="F51" s="1460"/>
      <c r="G51" s="1085"/>
      <c r="H51" s="1086"/>
      <c r="I51" s="982"/>
      <c r="J51" s="982"/>
      <c r="K51" s="982"/>
      <c r="L51" s="982"/>
      <c r="M51" s="1087"/>
      <c r="O51" s="1072" t="str">
        <f t="shared" si="24"/>
        <v/>
      </c>
      <c r="Z51" s="169"/>
      <c r="AA51" s="169"/>
      <c r="AB51" s="174">
        <f t="shared" ref="AB51:AB54" si="26">G51*(G$12-$M51)</f>
        <v>0</v>
      </c>
      <c r="AC51" s="174">
        <f t="shared" ref="AC51:AC54" si="27">H51*(H$12-$M51)</f>
        <v>0</v>
      </c>
      <c r="AD51" s="174">
        <f t="shared" ref="AD51:AD54" si="28">I51*(I$12-$M51)</f>
        <v>0</v>
      </c>
      <c r="AE51" s="174">
        <f t="shared" ref="AE51:AE54" si="29">J51*(J$12-$M51)</f>
        <v>0</v>
      </c>
      <c r="AF51" s="174">
        <f t="shared" ref="AF51:AF54" si="30">K51*(K$12-$M51)</f>
        <v>0</v>
      </c>
      <c r="AG51" s="176">
        <f t="shared" ref="AG51:AG54" si="31">L51*(L$12-$M51)</f>
        <v>0</v>
      </c>
      <c r="AH51" s="169"/>
    </row>
    <row r="52" spans="1:34" ht="12" customHeight="1">
      <c r="A52" s="19"/>
      <c r="B52" s="25"/>
      <c r="C52" s="1457"/>
      <c r="D52" s="1457"/>
      <c r="E52" s="1457"/>
      <c r="F52" s="1460"/>
      <c r="G52" s="1085"/>
      <c r="H52" s="1086"/>
      <c r="I52" s="982"/>
      <c r="J52" s="982"/>
      <c r="K52" s="982"/>
      <c r="L52" s="982"/>
      <c r="M52" s="1087"/>
      <c r="O52" s="1072" t="str">
        <f t="shared" si="24"/>
        <v/>
      </c>
      <c r="Z52" s="169"/>
      <c r="AA52" s="169"/>
      <c r="AB52" s="174">
        <f t="shared" si="26"/>
        <v>0</v>
      </c>
      <c r="AC52" s="174">
        <f t="shared" si="27"/>
        <v>0</v>
      </c>
      <c r="AD52" s="174">
        <f t="shared" si="28"/>
        <v>0</v>
      </c>
      <c r="AE52" s="174">
        <f t="shared" si="29"/>
        <v>0</v>
      </c>
      <c r="AF52" s="174">
        <f t="shared" si="30"/>
        <v>0</v>
      </c>
      <c r="AG52" s="176">
        <f t="shared" si="31"/>
        <v>0</v>
      </c>
      <c r="AH52" s="169"/>
    </row>
    <row r="53" spans="1:34" ht="12" customHeight="1">
      <c r="A53" s="19"/>
      <c r="B53" s="25"/>
      <c r="C53" s="1455"/>
      <c r="D53" s="1455"/>
      <c r="E53" s="1455"/>
      <c r="F53" s="1456"/>
      <c r="G53" s="1088"/>
      <c r="H53" s="1089"/>
      <c r="I53" s="1090"/>
      <c r="J53" s="1090"/>
      <c r="K53" s="1090"/>
      <c r="L53" s="1090"/>
      <c r="M53" s="1091"/>
      <c r="O53" s="1072" t="str">
        <f t="shared" si="24"/>
        <v/>
      </c>
      <c r="Z53" s="169"/>
      <c r="AA53" s="169"/>
      <c r="AB53" s="174">
        <f t="shared" si="26"/>
        <v>0</v>
      </c>
      <c r="AC53" s="174">
        <f t="shared" si="27"/>
        <v>0</v>
      </c>
      <c r="AD53" s="174">
        <f t="shared" si="28"/>
        <v>0</v>
      </c>
      <c r="AE53" s="174">
        <f t="shared" si="29"/>
        <v>0</v>
      </c>
      <c r="AF53" s="174">
        <f t="shared" si="30"/>
        <v>0</v>
      </c>
      <c r="AG53" s="176">
        <f t="shared" si="31"/>
        <v>0</v>
      </c>
      <c r="AH53" s="169"/>
    </row>
    <row r="54" spans="1:34" ht="12" customHeight="1">
      <c r="B54" s="25"/>
      <c r="C54" s="1455"/>
      <c r="D54" s="1455"/>
      <c r="E54" s="1455"/>
      <c r="F54" s="1456"/>
      <c r="G54" s="1088"/>
      <c r="H54" s="1089"/>
      <c r="I54" s="1090"/>
      <c r="J54" s="1090"/>
      <c r="K54" s="1090"/>
      <c r="L54" s="1090"/>
      <c r="M54" s="1091"/>
      <c r="O54" s="1072" t="str">
        <f t="shared" si="24"/>
        <v/>
      </c>
      <c r="Z54" s="169"/>
      <c r="AA54" s="169"/>
      <c r="AB54" s="174">
        <f t="shared" si="26"/>
        <v>0</v>
      </c>
      <c r="AC54" s="174">
        <f t="shared" si="27"/>
        <v>0</v>
      </c>
      <c r="AD54" s="174">
        <f t="shared" si="28"/>
        <v>0</v>
      </c>
      <c r="AE54" s="174">
        <f t="shared" si="29"/>
        <v>0</v>
      </c>
      <c r="AF54" s="174">
        <f t="shared" si="30"/>
        <v>0</v>
      </c>
      <c r="AG54" s="176">
        <f t="shared" si="31"/>
        <v>0</v>
      </c>
      <c r="AH54" s="169"/>
    </row>
    <row r="55" spans="1:34" ht="12.95" customHeight="1">
      <c r="B55" s="25"/>
      <c r="C55" s="20"/>
      <c r="D55" s="20"/>
      <c r="E55" s="20"/>
      <c r="F55" s="20"/>
      <c r="G55" s="908"/>
      <c r="H55" s="906"/>
      <c r="I55" s="41"/>
      <c r="J55" s="41"/>
      <c r="K55" s="41"/>
      <c r="L55" s="41"/>
      <c r="M55" s="47"/>
      <c r="Z55" s="169"/>
      <c r="AA55" s="169"/>
      <c r="AB55" s="177">
        <f t="shared" ref="AB55:AG55" si="32">SUM(AB50:AB54)</f>
        <v>0</v>
      </c>
      <c r="AC55" s="177">
        <f t="shared" si="32"/>
        <v>0</v>
      </c>
      <c r="AD55" s="177">
        <f t="shared" si="32"/>
        <v>0</v>
      </c>
      <c r="AE55" s="177">
        <f t="shared" si="32"/>
        <v>0</v>
      </c>
      <c r="AF55" s="177">
        <f t="shared" si="32"/>
        <v>0</v>
      </c>
      <c r="AG55" s="177">
        <f t="shared" si="32"/>
        <v>0</v>
      </c>
      <c r="AH55" s="169"/>
    </row>
    <row r="56" spans="1:34" ht="12" customHeight="1">
      <c r="B56" s="60" t="s">
        <v>194</v>
      </c>
      <c r="C56" s="22"/>
      <c r="D56" s="22"/>
      <c r="E56" s="22"/>
      <c r="F56" s="22"/>
      <c r="G56" s="909"/>
      <c r="H56" s="907"/>
      <c r="I56" s="46"/>
      <c r="J56" s="46"/>
      <c r="K56" s="46"/>
      <c r="L56" s="46"/>
      <c r="M56" s="57"/>
      <c r="Z56" s="169"/>
      <c r="AA56" s="169"/>
      <c r="AB56" s="295"/>
      <c r="AC56" s="295"/>
      <c r="AD56" s="295"/>
      <c r="AE56" s="295"/>
      <c r="AF56" s="295"/>
      <c r="AG56" s="295"/>
      <c r="AH56" s="169"/>
    </row>
    <row r="57" spans="1:34" ht="12" customHeight="1">
      <c r="B57" s="5" t="s">
        <v>196</v>
      </c>
      <c r="C57" s="20"/>
      <c r="D57" s="20"/>
      <c r="E57" s="20"/>
      <c r="F57" s="20"/>
      <c r="G57" s="912">
        <f>AB55+AB48</f>
        <v>0</v>
      </c>
      <c r="H57" s="913">
        <f>AC48+AC55</f>
        <v>0</v>
      </c>
      <c r="I57" s="913">
        <f t="shared" ref="I57:L57" si="33">AD48+AD55</f>
        <v>0</v>
      </c>
      <c r="J57" s="913">
        <f t="shared" si="33"/>
        <v>0</v>
      </c>
      <c r="K57" s="913">
        <f t="shared" si="33"/>
        <v>0</v>
      </c>
      <c r="L57" s="913">
        <f t="shared" si="33"/>
        <v>0</v>
      </c>
      <c r="M57" s="914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168"/>
      <c r="AA57" s="168"/>
      <c r="AB57" s="169"/>
      <c r="AC57" s="169"/>
      <c r="AD57" s="169"/>
      <c r="AE57" s="169"/>
      <c r="AF57" s="169"/>
      <c r="AG57" s="169"/>
      <c r="AH57" s="169"/>
    </row>
    <row r="58" spans="1:34" s="20" customFormat="1" ht="12" customHeight="1">
      <c r="A58" s="2"/>
      <c r="B58" s="22"/>
      <c r="C58" s="22"/>
      <c r="D58" s="22"/>
      <c r="E58" s="22"/>
      <c r="F58" s="22"/>
      <c r="G58" s="918"/>
      <c r="H58" s="918"/>
      <c r="I58" s="918"/>
      <c r="J58" s="918"/>
      <c r="K58" s="918"/>
      <c r="L58" s="918"/>
      <c r="M58" s="22"/>
      <c r="Z58" s="167"/>
      <c r="AA58" s="167"/>
      <c r="AB58" s="167"/>
      <c r="AC58" s="167"/>
      <c r="AD58" s="167"/>
      <c r="AE58" s="167"/>
      <c r="AF58" s="167"/>
      <c r="AG58" s="167"/>
      <c r="AH58" s="167"/>
    </row>
    <row r="59" spans="1:34" ht="24" customHeight="1">
      <c r="B59" s="1452" t="str">
        <f>"Total Veränderung des Zinsaufwandes gegenüber dem Budgetjahr "&amp;Budget2&amp;" (kumuliert)"</f>
        <v>Total Veränderung des Zinsaufwandes gegenüber dem Budgetjahr 2022 (kumuliert)</v>
      </c>
      <c r="C59" s="1453"/>
      <c r="D59" s="1453"/>
      <c r="E59" s="1453"/>
      <c r="F59" s="1454"/>
      <c r="G59" s="58"/>
      <c r="H59" s="296">
        <f>G57+G40+G11</f>
        <v>1.3625000000000003</v>
      </c>
      <c r="I59" s="296">
        <f>H59+H57+H40+H11</f>
        <v>7.0465937500000013</v>
      </c>
      <c r="J59" s="296">
        <f t="shared" ref="J59:L59" si="34">I59+I57+I40+I11</f>
        <v>18.053457471249992</v>
      </c>
      <c r="K59" s="296">
        <f t="shared" si="34"/>
        <v>25.694038726231732</v>
      </c>
      <c r="L59" s="298">
        <f t="shared" si="34"/>
        <v>27.923137710814739</v>
      </c>
      <c r="M59" s="20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168"/>
      <c r="AA59" s="168"/>
      <c r="AB59" s="169"/>
      <c r="AC59" s="169"/>
      <c r="AD59" s="169"/>
      <c r="AE59" s="169"/>
      <c r="AF59" s="169"/>
      <c r="AG59" s="169"/>
      <c r="AH59" s="169"/>
    </row>
    <row r="60" spans="1:34">
      <c r="Z60" s="169"/>
      <c r="AA60" s="169"/>
      <c r="AB60" s="169"/>
      <c r="AC60" s="169"/>
      <c r="AD60" s="169"/>
      <c r="AE60" s="169"/>
      <c r="AF60" s="169"/>
      <c r="AG60" s="169"/>
      <c r="AH60" s="169"/>
    </row>
    <row r="61" spans="1:34">
      <c r="G61" s="59" t="s">
        <v>8</v>
      </c>
    </row>
    <row r="62" spans="1:34">
      <c r="G62" s="59"/>
    </row>
    <row r="63" spans="1:34">
      <c r="A63" s="55"/>
      <c r="B63" s="195" t="s">
        <v>67</v>
      </c>
      <c r="C63" s="194"/>
      <c r="D63" s="194"/>
      <c r="E63" s="194"/>
      <c r="F63" s="194"/>
      <c r="G63" s="194"/>
      <c r="H63" s="194"/>
      <c r="I63" s="194"/>
      <c r="J63" s="194"/>
      <c r="K63" s="194"/>
      <c r="L63" s="194"/>
    </row>
    <row r="69" spans="8:8">
      <c r="H69" s="184"/>
    </row>
  </sheetData>
  <mergeCells count="32">
    <mergeCell ref="C50:F50"/>
    <mergeCell ref="C20:F20"/>
    <mergeCell ref="C28:F28"/>
    <mergeCell ref="C22:F22"/>
    <mergeCell ref="C23:F23"/>
    <mergeCell ref="C21:F21"/>
    <mergeCell ref="C26:F26"/>
    <mergeCell ref="C24:F24"/>
    <mergeCell ref="C25:F25"/>
    <mergeCell ref="C27:F27"/>
    <mergeCell ref="C34:F34"/>
    <mergeCell ref="C15:F15"/>
    <mergeCell ref="C16:F16"/>
    <mergeCell ref="C17:F17"/>
    <mergeCell ref="C18:F18"/>
    <mergeCell ref="C19:F19"/>
    <mergeCell ref="B59:F59"/>
    <mergeCell ref="C43:F43"/>
    <mergeCell ref="C29:F29"/>
    <mergeCell ref="C30:F30"/>
    <mergeCell ref="C31:F31"/>
    <mergeCell ref="C35:F35"/>
    <mergeCell ref="C36:F36"/>
    <mergeCell ref="C37:F37"/>
    <mergeCell ref="C45:F45"/>
    <mergeCell ref="C46:F46"/>
    <mergeCell ref="C44:F44"/>
    <mergeCell ref="C54:F54"/>
    <mergeCell ref="C51:F51"/>
    <mergeCell ref="C52:F52"/>
    <mergeCell ref="C53:F53"/>
    <mergeCell ref="C47:F47"/>
  </mergeCells>
  <phoneticPr fontId="2" type="noConversion"/>
  <pageMargins left="0.74803149606299202" right="0.74803149606299202" top="0.98425196850393704" bottom="0.98425196850393704" header="0.511811023622047" footer="0.511811023622047"/>
  <pageSetup paperSize="9" scale="92" orientation="portrait" r:id="rId1"/>
  <headerFooter>
    <oddFooter>&amp;L&amp;8&amp;K000000© Legrafin                 &amp;D / &amp;T&amp;C&amp;8&amp;K000000Seite  &amp;P&amp;R&amp;8&amp;K000000&amp;F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J95"/>
  <sheetViews>
    <sheetView zoomScale="150" zoomScaleNormal="150" zoomScalePageLayoutView="150" workbookViewId="0">
      <pane xSplit="6" ySplit="12" topLeftCell="G41" activePane="bottomRight" state="frozenSplit"/>
      <selection pane="topRight" activeCell="G1" sqref="G1"/>
      <selection pane="bottomLeft" activeCell="A13" sqref="A13"/>
      <selection pane="bottomRight" activeCell="A76" sqref="A76"/>
    </sheetView>
  </sheetViews>
  <sheetFormatPr baseColWidth="10" defaultColWidth="11.42578125" defaultRowHeight="11.25"/>
  <cols>
    <col min="1" max="1" width="0.85546875" style="86" customWidth="1"/>
    <col min="2" max="2" width="2.7109375" style="86" customWidth="1"/>
    <col min="3" max="3" width="4.140625" style="86" customWidth="1"/>
    <col min="4" max="4" width="1.7109375" style="86" customWidth="1"/>
    <col min="5" max="5" width="16.85546875" style="86" customWidth="1"/>
    <col min="6" max="6" width="15.140625" style="86" customWidth="1"/>
    <col min="7" max="8" width="8.28515625" style="396" customWidth="1"/>
    <col min="9" max="14" width="8" style="86" customWidth="1"/>
    <col min="15" max="21" width="6.140625" style="86" customWidth="1"/>
    <col min="22" max="22" width="2.42578125" style="86" customWidth="1"/>
    <col min="23" max="29" width="6.140625" style="86" customWidth="1"/>
    <col min="30" max="30" width="2.42578125" style="86" customWidth="1"/>
    <col min="31" max="37" width="6.140625" style="86" customWidth="1"/>
    <col min="38" max="38" width="2.42578125" style="86" customWidth="1"/>
    <col min="39" max="45" width="6.140625" style="86" customWidth="1"/>
    <col min="46" max="46" width="2.42578125" style="86" customWidth="1"/>
    <col min="47" max="53" width="6.140625" style="86" customWidth="1"/>
    <col min="54" max="54" width="2.42578125" style="86" customWidth="1"/>
    <col min="55" max="61" width="6.140625" style="86" customWidth="1"/>
    <col min="62" max="62" width="2.42578125" style="86" customWidth="1"/>
    <col min="63" max="16384" width="11.42578125" style="86"/>
  </cols>
  <sheetData>
    <row r="1" spans="1:62" s="80" customFormat="1" ht="12">
      <c r="B1" s="1438" t="str">
        <f>"Aufgaben- und Finanzplan "&amp;TEXT(Budget2,0)&amp;" - "&amp;TEXT(Finz1+4,0)</f>
        <v>Aufgaben- und Finanzplan 2022 - 2027</v>
      </c>
      <c r="C1" s="1438"/>
      <c r="D1" s="1438"/>
      <c r="E1" s="1438"/>
      <c r="F1" s="1438"/>
      <c r="G1" s="1438"/>
      <c r="H1" s="1438"/>
      <c r="M1" s="245" t="str">
        <f>"Gemeinde "&amp;TEXT(Gemeinde,0)</f>
        <v>Gemeinde Menznau</v>
      </c>
    </row>
    <row r="2" spans="1:62" ht="6" customHeight="1">
      <c r="G2" s="86"/>
      <c r="H2" s="86"/>
    </row>
    <row r="3" spans="1:62" s="82" customFormat="1" ht="12.75">
      <c r="A3" s="185"/>
      <c r="B3" s="1421" t="s">
        <v>331</v>
      </c>
      <c r="C3" s="1421"/>
      <c r="D3" s="1422"/>
      <c r="E3" s="1422"/>
      <c r="F3" s="1422"/>
      <c r="G3" s="1422"/>
      <c r="H3" s="1422"/>
      <c r="I3" s="399"/>
      <c r="J3" s="399"/>
      <c r="K3" s="399"/>
      <c r="L3" s="399"/>
      <c r="N3" s="399"/>
      <c r="O3" s="399"/>
      <c r="P3" s="399"/>
      <c r="Q3" s="399"/>
      <c r="R3" s="399"/>
      <c r="S3" s="399"/>
      <c r="T3" s="399"/>
      <c r="U3" s="399"/>
      <c r="V3" s="399"/>
      <c r="W3" s="399"/>
      <c r="X3" s="399"/>
      <c r="Y3" s="399"/>
      <c r="Z3" s="399"/>
      <c r="AA3" s="399"/>
      <c r="AB3" s="399"/>
      <c r="AC3" s="399"/>
      <c r="AD3" s="399"/>
      <c r="AE3" s="399"/>
      <c r="AF3" s="399"/>
      <c r="AG3" s="399"/>
      <c r="AH3" s="399"/>
      <c r="AI3" s="399"/>
      <c r="AJ3" s="399"/>
      <c r="AK3" s="399"/>
      <c r="AL3" s="399"/>
      <c r="AM3" s="399"/>
      <c r="AN3" s="399"/>
      <c r="AO3" s="399"/>
      <c r="AP3" s="399"/>
      <c r="AQ3" s="399"/>
      <c r="AR3" s="399"/>
      <c r="AS3" s="399"/>
      <c r="AT3" s="399"/>
      <c r="AU3" s="399"/>
      <c r="AV3" s="399"/>
      <c r="AW3" s="399"/>
      <c r="AX3" s="399"/>
      <c r="AY3" s="399"/>
      <c r="AZ3" s="399"/>
      <c r="BA3" s="399"/>
      <c r="BB3" s="399"/>
      <c r="BC3" s="399"/>
      <c r="BD3" s="399"/>
      <c r="BE3" s="399"/>
      <c r="BF3" s="399"/>
      <c r="BG3" s="399"/>
      <c r="BH3" s="399"/>
      <c r="BI3" s="399"/>
      <c r="BJ3" s="399"/>
    </row>
    <row r="4" spans="1:62" ht="6" customHeight="1">
      <c r="N4" s="340"/>
    </row>
    <row r="5" spans="1:62" ht="12.75">
      <c r="B5" s="1423" t="s">
        <v>152</v>
      </c>
      <c r="C5" s="1424"/>
      <c r="D5" s="1424"/>
      <c r="E5" s="1424"/>
      <c r="F5" s="1424"/>
      <c r="G5" s="86"/>
      <c r="H5" s="86"/>
      <c r="N5" s="82"/>
    </row>
    <row r="6" spans="1:62" ht="6" customHeight="1">
      <c r="B6" s="374"/>
      <c r="C6" s="637"/>
      <c r="D6" s="637"/>
      <c r="E6" s="375"/>
      <c r="F6" s="375"/>
      <c r="G6" s="376"/>
      <c r="H6" s="376"/>
      <c r="I6" s="150"/>
      <c r="J6" s="150"/>
      <c r="K6" s="150"/>
      <c r="L6" s="150"/>
      <c r="M6" s="353"/>
      <c r="N6" s="82"/>
      <c r="O6" s="400"/>
      <c r="P6" s="401"/>
      <c r="Q6" s="401"/>
      <c r="R6" s="401"/>
      <c r="S6" s="401"/>
      <c r="T6" s="401"/>
      <c r="U6" s="378"/>
      <c r="W6" s="400"/>
      <c r="X6" s="401"/>
      <c r="Y6" s="401"/>
      <c r="Z6" s="401"/>
      <c r="AA6" s="401"/>
      <c r="AB6" s="401"/>
      <c r="AC6" s="378"/>
      <c r="AE6" s="400"/>
      <c r="AF6" s="401"/>
      <c r="AG6" s="401"/>
      <c r="AH6" s="401"/>
      <c r="AI6" s="401"/>
      <c r="AJ6" s="401"/>
      <c r="AK6" s="378"/>
      <c r="AM6" s="400"/>
      <c r="AN6" s="401"/>
      <c r="AO6" s="401"/>
      <c r="AP6" s="401"/>
      <c r="AQ6" s="401"/>
      <c r="AR6" s="401"/>
      <c r="AS6" s="378"/>
      <c r="AU6" s="400"/>
      <c r="AV6" s="401"/>
      <c r="AW6" s="401"/>
      <c r="AX6" s="401"/>
      <c r="AY6" s="401"/>
      <c r="AZ6" s="401"/>
      <c r="BA6" s="378"/>
      <c r="BC6" s="400"/>
      <c r="BD6" s="401"/>
      <c r="BE6" s="401"/>
      <c r="BF6" s="401"/>
      <c r="BG6" s="401"/>
      <c r="BH6" s="401"/>
      <c r="BI6" s="378"/>
    </row>
    <row r="7" spans="1:62" ht="11.1" customHeight="1">
      <c r="B7" s="374"/>
      <c r="C7" s="637"/>
      <c r="D7" s="637"/>
      <c r="E7" s="375"/>
      <c r="F7" s="375"/>
      <c r="G7" s="379" t="s">
        <v>106</v>
      </c>
      <c r="H7" s="379"/>
      <c r="I7" s="85"/>
      <c r="J7" s="85"/>
      <c r="K7" s="85"/>
      <c r="L7" s="85"/>
      <c r="M7" s="358"/>
      <c r="N7" s="82"/>
      <c r="O7" s="402" t="str">
        <f>'F0a Konfiguration'!C11</f>
        <v>AB1</v>
      </c>
      <c r="P7" s="403"/>
      <c r="Q7" s="403"/>
      <c r="R7" s="403"/>
      <c r="S7" s="403"/>
      <c r="T7" s="403"/>
      <c r="U7" s="404"/>
      <c r="W7" s="402" t="str">
        <f>'F0a Konfiguration'!C12</f>
        <v>AB2</v>
      </c>
      <c r="X7" s="403"/>
      <c r="Y7" s="403"/>
      <c r="Z7" s="403"/>
      <c r="AA7" s="403"/>
      <c r="AB7" s="403"/>
      <c r="AC7" s="404"/>
      <c r="AE7" s="402" t="str">
        <f>'F0a Konfiguration'!C13</f>
        <v>AB3</v>
      </c>
      <c r="AF7" s="403"/>
      <c r="AG7" s="403"/>
      <c r="AH7" s="403"/>
      <c r="AI7" s="403"/>
      <c r="AJ7" s="403"/>
      <c r="AK7" s="404"/>
      <c r="AM7" s="402" t="str">
        <f>'F0a Konfiguration'!C14</f>
        <v>AB4</v>
      </c>
      <c r="AN7" s="403"/>
      <c r="AO7" s="403"/>
      <c r="AP7" s="403"/>
      <c r="AQ7" s="403"/>
      <c r="AR7" s="403"/>
      <c r="AS7" s="404"/>
      <c r="AU7" s="402" t="str">
        <f>'F0a Konfiguration'!C15</f>
        <v>AB5</v>
      </c>
      <c r="AV7" s="403"/>
      <c r="AW7" s="403"/>
      <c r="AX7" s="403"/>
      <c r="AY7" s="403"/>
      <c r="AZ7" s="403"/>
      <c r="BA7" s="404"/>
      <c r="BC7" s="402" t="str">
        <f>'F0a Konfiguration'!C16</f>
        <v>AB6</v>
      </c>
      <c r="BD7" s="403"/>
      <c r="BE7" s="403"/>
      <c r="BF7" s="403"/>
      <c r="BG7" s="403"/>
      <c r="BH7" s="403"/>
      <c r="BI7" s="404"/>
    </row>
    <row r="8" spans="1:62" ht="11.1" customHeight="1">
      <c r="B8" s="374"/>
      <c r="C8" s="637"/>
      <c r="D8" s="637"/>
      <c r="E8" s="375"/>
      <c r="F8" s="375"/>
      <c r="G8" s="379" t="s">
        <v>20</v>
      </c>
      <c r="H8" s="379"/>
      <c r="I8" s="674"/>
      <c r="J8" s="674"/>
      <c r="K8" s="674"/>
      <c r="L8" s="674"/>
      <c r="M8" s="683"/>
      <c r="N8" s="82"/>
      <c r="O8" s="402" t="str">
        <f>'F0a Konfiguration'!E11</f>
        <v>Politik und Verwaltung</v>
      </c>
      <c r="P8" s="403"/>
      <c r="Q8" s="403"/>
      <c r="R8" s="403"/>
      <c r="S8" s="403"/>
      <c r="T8" s="403"/>
      <c r="U8" s="404"/>
      <c r="W8" s="402" t="str">
        <f>'F0a Konfiguration'!E12</f>
        <v>Bildung</v>
      </c>
      <c r="X8" s="403"/>
      <c r="Y8" s="403"/>
      <c r="Z8" s="403"/>
      <c r="AA8" s="403"/>
      <c r="AB8" s="403"/>
      <c r="AC8" s="404"/>
      <c r="AE8" s="402" t="str">
        <f>'F0a Konfiguration'!E13</f>
        <v>Freizeit, Jugend und Kultur</v>
      </c>
      <c r="AF8" s="403"/>
      <c r="AG8" s="403"/>
      <c r="AH8" s="403"/>
      <c r="AI8" s="403"/>
      <c r="AJ8" s="403"/>
      <c r="AK8" s="404"/>
      <c r="AM8" s="402" t="str">
        <f>'F0a Konfiguration'!E14</f>
        <v>Soziales, Gesundheit und Alter</v>
      </c>
      <c r="AN8" s="403"/>
      <c r="AO8" s="403"/>
      <c r="AP8" s="403"/>
      <c r="AQ8" s="403"/>
      <c r="AR8" s="403"/>
      <c r="AS8" s="404"/>
      <c r="AU8" s="402" t="str">
        <f>'F0a Konfiguration'!E15</f>
        <v>Infrastruktur, Sicherheit, Raumordnung und Umwelt</v>
      </c>
      <c r="AV8" s="403"/>
      <c r="AW8" s="403"/>
      <c r="AX8" s="403"/>
      <c r="AY8" s="403"/>
      <c r="AZ8" s="403"/>
      <c r="BA8" s="404"/>
      <c r="BC8" s="402" t="str">
        <f>'F0a Konfiguration'!E16</f>
        <v>Finanzen, Steuern und Abgaben</v>
      </c>
      <c r="BD8" s="403"/>
      <c r="BE8" s="403"/>
      <c r="BF8" s="403"/>
      <c r="BG8" s="403"/>
      <c r="BH8" s="403"/>
      <c r="BI8" s="404"/>
    </row>
    <row r="9" spans="1:62" ht="6" customHeight="1">
      <c r="B9" s="374"/>
      <c r="C9" s="637"/>
      <c r="D9" s="637"/>
      <c r="E9" s="375"/>
      <c r="F9" s="375"/>
      <c r="G9" s="379"/>
      <c r="H9" s="379"/>
      <c r="I9" s="405"/>
      <c r="J9" s="405"/>
      <c r="K9" s="405"/>
      <c r="L9" s="405"/>
      <c r="M9" s="382"/>
      <c r="N9" s="82"/>
      <c r="O9" s="406"/>
      <c r="P9" s="405"/>
      <c r="Q9" s="405"/>
      <c r="R9" s="405"/>
      <c r="S9" s="405"/>
      <c r="T9" s="405"/>
      <c r="U9" s="382"/>
      <c r="W9" s="406"/>
      <c r="X9" s="405"/>
      <c r="Y9" s="405"/>
      <c r="Z9" s="405"/>
      <c r="AA9" s="405"/>
      <c r="AB9" s="405"/>
      <c r="AC9" s="382"/>
      <c r="AE9" s="406"/>
      <c r="AF9" s="405"/>
      <c r="AG9" s="405"/>
      <c r="AH9" s="405"/>
      <c r="AI9" s="405"/>
      <c r="AJ9" s="405"/>
      <c r="AK9" s="382"/>
      <c r="AM9" s="406"/>
      <c r="AN9" s="405"/>
      <c r="AO9" s="405"/>
      <c r="AP9" s="405"/>
      <c r="AQ9" s="405"/>
      <c r="AR9" s="405"/>
      <c r="AS9" s="382"/>
      <c r="AU9" s="406"/>
      <c r="AV9" s="405"/>
      <c r="AW9" s="405"/>
      <c r="AX9" s="405"/>
      <c r="AY9" s="405"/>
      <c r="AZ9" s="405"/>
      <c r="BA9" s="382"/>
      <c r="BC9" s="406"/>
      <c r="BD9" s="405"/>
      <c r="BE9" s="405"/>
      <c r="BF9" s="405"/>
      <c r="BG9" s="405"/>
      <c r="BH9" s="405"/>
      <c r="BI9" s="382"/>
    </row>
    <row r="10" spans="1:62" ht="11.1" customHeight="1">
      <c r="B10" s="374"/>
      <c r="C10" s="637"/>
      <c r="D10" s="637"/>
      <c r="E10" s="375"/>
      <c r="F10" s="375"/>
      <c r="G10" s="1273" t="str">
        <f>IF('F0b Planungsparameter'!$G$10="Ja","Budget","Rechng")</f>
        <v>Budget</v>
      </c>
      <c r="H10" s="1274" t="s">
        <v>32</v>
      </c>
      <c r="I10" s="1275" t="s">
        <v>26</v>
      </c>
      <c r="J10" s="1276"/>
      <c r="K10" s="1276"/>
      <c r="L10" s="1276"/>
      <c r="M10" s="1277"/>
      <c r="O10" s="1273" t="str">
        <f>IF('F0b Planungsparameter'!$G$10="Ja","Budget","Rechng")</f>
        <v>Budget</v>
      </c>
      <c r="P10" s="1274" t="s">
        <v>32</v>
      </c>
      <c r="Q10" s="1275" t="s">
        <v>26</v>
      </c>
      <c r="R10" s="1276"/>
      <c r="S10" s="1276"/>
      <c r="T10" s="1276"/>
      <c r="U10" s="1277"/>
      <c r="W10" s="1273" t="str">
        <f>IF('F0b Planungsparameter'!$G$10="Ja","Budget","Rechng")</f>
        <v>Budget</v>
      </c>
      <c r="X10" s="1274" t="s">
        <v>32</v>
      </c>
      <c r="Y10" s="1275" t="s">
        <v>26</v>
      </c>
      <c r="Z10" s="1276"/>
      <c r="AA10" s="1276"/>
      <c r="AB10" s="1276"/>
      <c r="AC10" s="1277"/>
      <c r="AE10" s="1273" t="str">
        <f>IF('F0b Planungsparameter'!$G$10="Ja","Budget","Rechng")</f>
        <v>Budget</v>
      </c>
      <c r="AF10" s="1274" t="s">
        <v>32</v>
      </c>
      <c r="AG10" s="1275" t="s">
        <v>26</v>
      </c>
      <c r="AH10" s="1276"/>
      <c r="AI10" s="1276"/>
      <c r="AJ10" s="1276"/>
      <c r="AK10" s="1277"/>
      <c r="AM10" s="1273" t="str">
        <f>IF('F0b Planungsparameter'!$G$10="Ja","Budget","Rechng")</f>
        <v>Budget</v>
      </c>
      <c r="AN10" s="1274" t="s">
        <v>32</v>
      </c>
      <c r="AO10" s="1275" t="s">
        <v>26</v>
      </c>
      <c r="AP10" s="1276"/>
      <c r="AQ10" s="1276"/>
      <c r="AR10" s="1276"/>
      <c r="AS10" s="1277"/>
      <c r="AU10" s="1273" t="str">
        <f>IF('F0b Planungsparameter'!$G$10="Ja","Budget","Rechng")</f>
        <v>Budget</v>
      </c>
      <c r="AV10" s="1274" t="s">
        <v>32</v>
      </c>
      <c r="AW10" s="1275" t="s">
        <v>26</v>
      </c>
      <c r="AX10" s="1276"/>
      <c r="AY10" s="1276"/>
      <c r="AZ10" s="1276"/>
      <c r="BA10" s="1277"/>
      <c r="BC10" s="1273" t="str">
        <f>IF('F0b Planungsparameter'!$G$10="Ja","Budget","Rechng")</f>
        <v>Budget</v>
      </c>
      <c r="BD10" s="1274" t="s">
        <v>32</v>
      </c>
      <c r="BE10" s="1275" t="s">
        <v>26</v>
      </c>
      <c r="BF10" s="1276"/>
      <c r="BG10" s="1276"/>
      <c r="BH10" s="1276"/>
      <c r="BI10" s="1277"/>
    </row>
    <row r="11" spans="1:62" ht="11.1" customHeight="1">
      <c r="B11" s="374"/>
      <c r="C11" s="637"/>
      <c r="D11" s="637"/>
      <c r="E11" s="375"/>
      <c r="F11" s="375"/>
      <c r="G11" s="410">
        <f>Budget1</f>
        <v>2021</v>
      </c>
      <c r="H11" s="411">
        <f>Budget2</f>
        <v>2022</v>
      </c>
      <c r="I11" s="412">
        <f>Finz1</f>
        <v>2023</v>
      </c>
      <c r="J11" s="413">
        <f>Finz1+1</f>
        <v>2024</v>
      </c>
      <c r="K11" s="413">
        <f>Finz1+2</f>
        <v>2025</v>
      </c>
      <c r="L11" s="413">
        <f>Finz1+3</f>
        <v>2026</v>
      </c>
      <c r="M11" s="414">
        <f>Finz1+4</f>
        <v>2027</v>
      </c>
      <c r="N11" s="379"/>
      <c r="O11" s="410">
        <f>Budget1</f>
        <v>2021</v>
      </c>
      <c r="P11" s="411">
        <f>Budget2</f>
        <v>2022</v>
      </c>
      <c r="Q11" s="412">
        <f>Finz1</f>
        <v>2023</v>
      </c>
      <c r="R11" s="413">
        <f>Finz1+1</f>
        <v>2024</v>
      </c>
      <c r="S11" s="413">
        <f>Finz1+2</f>
        <v>2025</v>
      </c>
      <c r="T11" s="413">
        <f>Finz1+3</f>
        <v>2026</v>
      </c>
      <c r="U11" s="414">
        <f>Finz1+4</f>
        <v>2027</v>
      </c>
      <c r="W11" s="410">
        <f>Budget1</f>
        <v>2021</v>
      </c>
      <c r="X11" s="411">
        <f>Budget2</f>
        <v>2022</v>
      </c>
      <c r="Y11" s="412">
        <f>Finz1</f>
        <v>2023</v>
      </c>
      <c r="Z11" s="413">
        <f>Finz1+1</f>
        <v>2024</v>
      </c>
      <c r="AA11" s="413">
        <f>Finz1+2</f>
        <v>2025</v>
      </c>
      <c r="AB11" s="413">
        <f>Finz1+3</f>
        <v>2026</v>
      </c>
      <c r="AC11" s="414">
        <f>Finz1+4</f>
        <v>2027</v>
      </c>
      <c r="AE11" s="410">
        <f>Budget1</f>
        <v>2021</v>
      </c>
      <c r="AF11" s="411">
        <f>Budget2</f>
        <v>2022</v>
      </c>
      <c r="AG11" s="412">
        <f>Finz1</f>
        <v>2023</v>
      </c>
      <c r="AH11" s="413">
        <f>Finz1+1</f>
        <v>2024</v>
      </c>
      <c r="AI11" s="413">
        <f>Finz1+2</f>
        <v>2025</v>
      </c>
      <c r="AJ11" s="413">
        <f>Finz1+3</f>
        <v>2026</v>
      </c>
      <c r="AK11" s="414">
        <f>Finz1+4</f>
        <v>2027</v>
      </c>
      <c r="AM11" s="410">
        <f>Budget1</f>
        <v>2021</v>
      </c>
      <c r="AN11" s="411">
        <f>Budget2</f>
        <v>2022</v>
      </c>
      <c r="AO11" s="412">
        <f>Finz1</f>
        <v>2023</v>
      </c>
      <c r="AP11" s="413">
        <f>Finz1+1</f>
        <v>2024</v>
      </c>
      <c r="AQ11" s="413">
        <f>Finz1+2</f>
        <v>2025</v>
      </c>
      <c r="AR11" s="413">
        <f>Finz1+3</f>
        <v>2026</v>
      </c>
      <c r="AS11" s="414">
        <f>Finz1+4</f>
        <v>2027</v>
      </c>
      <c r="AU11" s="410">
        <f>Budget1</f>
        <v>2021</v>
      </c>
      <c r="AV11" s="411">
        <f>Budget2</f>
        <v>2022</v>
      </c>
      <c r="AW11" s="412">
        <f>Finz1</f>
        <v>2023</v>
      </c>
      <c r="AX11" s="413">
        <f>Finz1+1</f>
        <v>2024</v>
      </c>
      <c r="AY11" s="413">
        <f>Finz1+2</f>
        <v>2025</v>
      </c>
      <c r="AZ11" s="413">
        <f>Finz1+3</f>
        <v>2026</v>
      </c>
      <c r="BA11" s="414">
        <f>Finz1+4</f>
        <v>2027</v>
      </c>
      <c r="BC11" s="410">
        <f>Budget1</f>
        <v>2021</v>
      </c>
      <c r="BD11" s="411">
        <f>Budget2</f>
        <v>2022</v>
      </c>
      <c r="BE11" s="412">
        <f>Finz1</f>
        <v>2023</v>
      </c>
      <c r="BF11" s="413">
        <f>Finz1+1</f>
        <v>2024</v>
      </c>
      <c r="BG11" s="413">
        <f>Finz1+2</f>
        <v>2025</v>
      </c>
      <c r="BH11" s="413">
        <f>Finz1+3</f>
        <v>2026</v>
      </c>
      <c r="BI11" s="414">
        <f>Finz1+4</f>
        <v>2027</v>
      </c>
    </row>
    <row r="12" spans="1:62" ht="6" customHeight="1">
      <c r="B12" s="374"/>
      <c r="C12" s="637"/>
      <c r="D12" s="637"/>
      <c r="E12" s="375"/>
      <c r="F12" s="375"/>
      <c r="G12" s="375"/>
      <c r="H12" s="375"/>
      <c r="I12" s="375"/>
      <c r="J12" s="375"/>
      <c r="K12" s="375"/>
      <c r="L12" s="375"/>
      <c r="M12" s="375"/>
      <c r="N12" s="379"/>
      <c r="O12" s="375"/>
      <c r="P12" s="375"/>
      <c r="Q12" s="375"/>
      <c r="R12" s="375"/>
      <c r="S12" s="375"/>
      <c r="T12" s="375"/>
      <c r="U12" s="375"/>
      <c r="W12" s="375"/>
      <c r="X12" s="375"/>
      <c r="Y12" s="375"/>
      <c r="Z12" s="375"/>
      <c r="AA12" s="375"/>
      <c r="AB12" s="375"/>
      <c r="AC12" s="375"/>
      <c r="AE12" s="375"/>
      <c r="AF12" s="375"/>
      <c r="AG12" s="375"/>
      <c r="AH12" s="375"/>
      <c r="AI12" s="375"/>
      <c r="AJ12" s="375"/>
      <c r="AK12" s="375"/>
      <c r="AM12" s="375"/>
      <c r="AN12" s="375"/>
      <c r="AO12" s="375"/>
      <c r="AP12" s="375"/>
      <c r="AQ12" s="375"/>
      <c r="AR12" s="375"/>
      <c r="AS12" s="375"/>
      <c r="AU12" s="375"/>
      <c r="AV12" s="375"/>
      <c r="AW12" s="375"/>
      <c r="AX12" s="375"/>
      <c r="AY12" s="375"/>
      <c r="AZ12" s="375"/>
      <c r="BA12" s="375"/>
      <c r="BC12" s="375"/>
      <c r="BD12" s="375"/>
      <c r="BE12" s="375"/>
      <c r="BF12" s="375"/>
      <c r="BG12" s="375"/>
      <c r="BH12" s="375"/>
      <c r="BI12" s="375"/>
    </row>
    <row r="13" spans="1:62" ht="11.1" customHeight="1">
      <c r="B13" s="374">
        <v>3</v>
      </c>
      <c r="C13" s="383"/>
      <c r="D13" s="1406" t="s">
        <v>23</v>
      </c>
      <c r="E13" s="1407"/>
      <c r="F13" s="1408"/>
      <c r="G13" s="386"/>
      <c r="H13" s="415"/>
      <c r="I13" s="386">
        <f>SUM(I15:I33)</f>
        <v>8.9349999999999952</v>
      </c>
      <c r="J13" s="386">
        <f t="shared" ref="J13:M13" si="0">SUM(J15:J33)</f>
        <v>32.234093749999985</v>
      </c>
      <c r="K13" s="386">
        <f t="shared" si="0"/>
        <v>83.950188531856043</v>
      </c>
      <c r="L13" s="386">
        <f t="shared" si="0"/>
        <v>109.66590993835294</v>
      </c>
      <c r="M13" s="384">
        <f t="shared" si="0"/>
        <v>108.97522483202685</v>
      </c>
      <c r="N13" s="379"/>
      <c r="O13" s="386"/>
      <c r="P13" s="415"/>
      <c r="Q13" s="386">
        <f>SUM(Q15:Q33)</f>
        <v>2.4</v>
      </c>
      <c r="R13" s="386">
        <f t="shared" ref="R13:U13" si="1">SUM(R15:R33)</f>
        <v>-9.4</v>
      </c>
      <c r="S13" s="386">
        <f t="shared" si="1"/>
        <v>-8.92</v>
      </c>
      <c r="T13" s="386">
        <f t="shared" si="1"/>
        <v>-6.8650000000000002</v>
      </c>
      <c r="U13" s="384">
        <f t="shared" si="1"/>
        <v>-6.45</v>
      </c>
      <c r="V13" s="379"/>
      <c r="W13" s="386"/>
      <c r="X13" s="415"/>
      <c r="Y13" s="386">
        <f t="shared" ref="Y13:AC13" si="2">SUM(Y15:Y33)</f>
        <v>-21.68</v>
      </c>
      <c r="Z13" s="386">
        <f t="shared" si="2"/>
        <v>-16.66</v>
      </c>
      <c r="AA13" s="386">
        <f t="shared" si="2"/>
        <v>-13.802499999999998</v>
      </c>
      <c r="AB13" s="386">
        <f t="shared" si="2"/>
        <v>-11.022499999999999</v>
      </c>
      <c r="AC13" s="384">
        <f t="shared" si="2"/>
        <v>-18.657499999999999</v>
      </c>
      <c r="AD13" s="379"/>
      <c r="AE13" s="386"/>
      <c r="AF13" s="415"/>
      <c r="AG13" s="386">
        <f t="shared" ref="AG13:AK13" si="3">SUM(AG15:AG33)</f>
        <v>-0.6</v>
      </c>
      <c r="AH13" s="386">
        <f t="shared" si="3"/>
        <v>3.4</v>
      </c>
      <c r="AI13" s="386">
        <f t="shared" si="3"/>
        <v>7.2650000000000006</v>
      </c>
      <c r="AJ13" s="386">
        <f t="shared" si="3"/>
        <v>6.0050000000000008</v>
      </c>
      <c r="AK13" s="384">
        <f t="shared" si="3"/>
        <v>4.745000000000001</v>
      </c>
      <c r="AL13" s="379"/>
      <c r="AM13" s="386"/>
      <c r="AN13" s="415"/>
      <c r="AO13" s="386">
        <f t="shared" ref="AO13:AS13" si="4">SUM(AO15:AO33)</f>
        <v>-4.7424999999999997</v>
      </c>
      <c r="AP13" s="386">
        <f t="shared" si="4"/>
        <v>-21.337499999999999</v>
      </c>
      <c r="AQ13" s="386">
        <f t="shared" si="4"/>
        <v>-23.339602272727273</v>
      </c>
      <c r="AR13" s="386">
        <f t="shared" si="4"/>
        <v>-19.520795454545457</v>
      </c>
      <c r="AS13" s="384">
        <f t="shared" si="4"/>
        <v>-16.811079545454547</v>
      </c>
      <c r="AT13" s="379"/>
      <c r="AU13" s="386"/>
      <c r="AV13" s="415"/>
      <c r="AW13" s="386">
        <f>SUM(AW15:AW33)</f>
        <v>32.194999999999993</v>
      </c>
      <c r="AX13" s="386">
        <f>SUM(AX15:AX33)</f>
        <v>69.184999999999988</v>
      </c>
      <c r="AY13" s="386">
        <f>SUM(AY15:AY33)</f>
        <v>104.69383333333332</v>
      </c>
      <c r="AZ13" s="386">
        <f>SUM(AZ15:AZ33)</f>
        <v>115.37516666666666</v>
      </c>
      <c r="BA13" s="384">
        <f>SUM(BA15:BA33)</f>
        <v>118.22566666666665</v>
      </c>
      <c r="BB13" s="379"/>
      <c r="BC13" s="386"/>
      <c r="BD13" s="415"/>
      <c r="BE13" s="386">
        <f t="shared" ref="BE13:BI13" si="5">SUM(BE15:BE33)</f>
        <v>1.3625000000000003</v>
      </c>
      <c r="BF13" s="386">
        <f t="shared" si="5"/>
        <v>7.0465937500000013</v>
      </c>
      <c r="BG13" s="386">
        <f t="shared" si="5"/>
        <v>18.053457471249992</v>
      </c>
      <c r="BH13" s="386">
        <f t="shared" si="5"/>
        <v>25.694038726231732</v>
      </c>
      <c r="BI13" s="384">
        <f t="shared" si="5"/>
        <v>27.923137710814739</v>
      </c>
      <c r="BJ13" s="379"/>
    </row>
    <row r="14" spans="1:62" ht="6" customHeight="1">
      <c r="B14" s="387"/>
      <c r="C14" s="388"/>
      <c r="D14" s="388"/>
      <c r="E14" s="85"/>
      <c r="F14" s="85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W14" s="379"/>
      <c r="X14" s="379"/>
      <c r="Y14" s="379"/>
      <c r="Z14" s="379"/>
      <c r="AA14" s="379"/>
      <c r="AB14" s="379"/>
      <c r="AC14" s="379"/>
      <c r="AE14" s="379"/>
      <c r="AF14" s="379"/>
      <c r="AG14" s="379"/>
      <c r="AH14" s="379"/>
      <c r="AI14" s="379"/>
      <c r="AJ14" s="379"/>
      <c r="AK14" s="379"/>
      <c r="AM14" s="379"/>
      <c r="AN14" s="379"/>
      <c r="AO14" s="379"/>
      <c r="AP14" s="379"/>
      <c r="AQ14" s="379"/>
      <c r="AR14" s="379"/>
      <c r="AS14" s="379"/>
      <c r="AU14" s="379"/>
      <c r="AV14" s="379"/>
      <c r="AW14" s="379"/>
      <c r="AX14" s="379"/>
      <c r="AY14" s="379"/>
      <c r="AZ14" s="379"/>
      <c r="BA14" s="379"/>
      <c r="BC14" s="379"/>
      <c r="BD14" s="379"/>
      <c r="BE14" s="379"/>
      <c r="BF14" s="379"/>
      <c r="BG14" s="379"/>
      <c r="BH14" s="379"/>
      <c r="BI14" s="379"/>
    </row>
    <row r="15" spans="1:62" ht="11.1" customHeight="1">
      <c r="B15" s="374">
        <v>30</v>
      </c>
      <c r="C15" s="383"/>
      <c r="D15" s="1412" t="s">
        <v>29</v>
      </c>
      <c r="E15" s="1412"/>
      <c r="F15" s="1413"/>
      <c r="G15" s="416"/>
      <c r="H15" s="417"/>
      <c r="I15" s="418">
        <f t="shared" ref="I15:I21" si="6">SUMIFS(O15:PN15,$O$11:$PN$11,I$11)</f>
        <v>0</v>
      </c>
      <c r="J15" s="419">
        <f t="shared" ref="J15:J21" si="7">SUMIFS(O15:PN15,$O$11:$PN$11,J$11)</f>
        <v>0</v>
      </c>
      <c r="K15" s="419">
        <f t="shared" ref="K15:K21" si="8">SUMIFS(O15:PN15,$O$11:$PN$11,K$11)</f>
        <v>0</v>
      </c>
      <c r="L15" s="419">
        <f t="shared" ref="L15:L21" si="9">SUMIFS(O15:PN15,$O$11:$PN$11,L$11)</f>
        <v>0</v>
      </c>
      <c r="M15" s="419">
        <f t="shared" ref="M15:M21" si="10">SUMIFS(O15:PN15,$O$11:$PN$11,M$11)</f>
        <v>0</v>
      </c>
      <c r="N15" s="602" t="str">
        <f>IF(SUM(G15:M15)=SUM(O15:PN15),"",SUM(O15:PN15)-SUM(G15:M15))</f>
        <v/>
      </c>
      <c r="O15" s="416"/>
      <c r="P15" s="417"/>
      <c r="Q15" s="418">
        <f>SUMIFS('F3 Änderungen ER'!$E$15:$E$289,'F3 Änderungen ER'!$B$15:$B$289,O$7,'F3 Änderungen ER'!$C$15:$C$289,$B15)</f>
        <v>0</v>
      </c>
      <c r="R15" s="419">
        <f>SUMIFS('F3 Änderungen ER'!$F$15:$F$289,'F3 Änderungen ER'!$B$15:$B$289,O$7,'F3 Änderungen ER'!$C$15:$C$289,$B15)</f>
        <v>0</v>
      </c>
      <c r="S15" s="419">
        <f>SUMIFS('F3 Änderungen ER'!$G$15:$G$289,'F3 Änderungen ER'!$B$15:$B$289,O$7,'F3 Änderungen ER'!$C$15:$C$289,$B15)</f>
        <v>0</v>
      </c>
      <c r="T15" s="419">
        <f>SUMIFS('F3 Änderungen ER'!$H$15:$H$289,'F3 Änderungen ER'!$B$15:$B$289,O$7,'F3 Änderungen ER'!$C$15:$C$289,$B15)</f>
        <v>0</v>
      </c>
      <c r="U15" s="419">
        <f>SUMIFS('F3 Änderungen ER'!$I$15:$I$289,'F3 Änderungen ER'!$B$15:$B$289,O$7,'F3 Änderungen ER'!$C$15:$C$289,$B15)</f>
        <v>0</v>
      </c>
      <c r="W15" s="416"/>
      <c r="X15" s="417"/>
      <c r="Y15" s="418">
        <f>SUMIFS('F3 Änderungen ER'!$E$15:$E$289,'F3 Änderungen ER'!$B$15:$B$289,W$7,'F3 Änderungen ER'!$C$15:$C$289,$B15)</f>
        <v>0</v>
      </c>
      <c r="Z15" s="419">
        <f>SUMIFS('F3 Änderungen ER'!$F$15:$F$289,'F3 Änderungen ER'!$B$15:$B$289,W$7,'F3 Änderungen ER'!$C$15:$C$289,$B15)</f>
        <v>0</v>
      </c>
      <c r="AA15" s="419">
        <f>SUMIFS('F3 Änderungen ER'!$G$15:$G$289,'F3 Änderungen ER'!$B$15:$B$289,W$7,'F3 Änderungen ER'!$C$15:$C$289,$B15)</f>
        <v>0</v>
      </c>
      <c r="AB15" s="419">
        <f>SUMIFS('F3 Änderungen ER'!$H$15:$H$289,'F3 Änderungen ER'!$B$15:$B$289,W$7,'F3 Änderungen ER'!$C$15:$C$289,$B15)</f>
        <v>0</v>
      </c>
      <c r="AC15" s="419">
        <f>SUMIFS('F3 Änderungen ER'!$I$15:$I$289,'F3 Änderungen ER'!$B$15:$B$289,W$7,'F3 Änderungen ER'!$C$15:$C$289,$B15)</f>
        <v>0</v>
      </c>
      <c r="AE15" s="416"/>
      <c r="AF15" s="417"/>
      <c r="AG15" s="418">
        <f>SUMIFS('F3 Änderungen ER'!$E$15:$E$289,'F3 Änderungen ER'!$B$15:$B$289,AE$7,'F3 Änderungen ER'!$C$15:$C$289,$B15)</f>
        <v>0</v>
      </c>
      <c r="AH15" s="419">
        <f>SUMIFS('F3 Änderungen ER'!$F$15:$F$289,'F3 Änderungen ER'!$B$15:$B$289,AE$7,'F3 Änderungen ER'!$C$15:$C$289,$B15)</f>
        <v>0</v>
      </c>
      <c r="AI15" s="419">
        <f>SUMIFS('F3 Änderungen ER'!$G$15:$G$289,'F3 Änderungen ER'!$B$15:$B$289,AE$7,'F3 Änderungen ER'!$C$15:$C$289,$B15)</f>
        <v>0</v>
      </c>
      <c r="AJ15" s="419">
        <f>SUMIFS('F3 Änderungen ER'!$H$15:$H$289,'F3 Änderungen ER'!$B$15:$B$289,AE$7,'F3 Änderungen ER'!$C$15:$C$289,$B15)</f>
        <v>0</v>
      </c>
      <c r="AK15" s="419">
        <f>SUMIFS('F3 Änderungen ER'!$I$15:$I$289,'F3 Änderungen ER'!$B$15:$B$289,AE$7,'F3 Änderungen ER'!$C$15:$C$289,$B15)</f>
        <v>0</v>
      </c>
      <c r="AM15" s="416"/>
      <c r="AN15" s="417"/>
      <c r="AO15" s="418">
        <f>SUMIFS('F3 Änderungen ER'!$E$15:$E$289,'F3 Änderungen ER'!$B$15:$B$289,AM$7,'F3 Änderungen ER'!$C$15:$C$289,$B15)</f>
        <v>0</v>
      </c>
      <c r="AP15" s="419">
        <f>SUMIFS('F3 Änderungen ER'!$F$15:$F$289,'F3 Änderungen ER'!$B$15:$B$289,AM$7,'F3 Änderungen ER'!$C$15:$C$289,$B15)</f>
        <v>0</v>
      </c>
      <c r="AQ15" s="419">
        <f>SUMIFS('F3 Änderungen ER'!$G$15:$G$289,'F3 Änderungen ER'!$B$15:$B$289,AM$7,'F3 Änderungen ER'!$C$15:$C$289,$B15)</f>
        <v>0</v>
      </c>
      <c r="AR15" s="419">
        <f>SUMIFS('F3 Änderungen ER'!$H$15:$H$289,'F3 Änderungen ER'!$B$15:$B$289,AM$7,'F3 Änderungen ER'!$C$15:$C$289,$B15)</f>
        <v>0</v>
      </c>
      <c r="AS15" s="419">
        <f>SUMIFS('F3 Änderungen ER'!$I$15:$I$289,'F3 Änderungen ER'!$B$15:$B$289,AM$7,'F3 Änderungen ER'!$C$15:$C$289,$B15)</f>
        <v>0</v>
      </c>
      <c r="AU15" s="416"/>
      <c r="AV15" s="417"/>
      <c r="AW15" s="418">
        <f>SUMIFS('F3 Änderungen ER'!$E$15:$E$289,'F3 Änderungen ER'!$B$15:$B$289,AU$7,'F3 Änderungen ER'!$C$15:$C$289,$B15)</f>
        <v>0</v>
      </c>
      <c r="AX15" s="419">
        <f>SUMIFS('F3 Änderungen ER'!$F$15:$F$289,'F3 Änderungen ER'!$B$15:$B$289,AU$7,'F3 Änderungen ER'!$C$15:$C$289,$B15)</f>
        <v>0</v>
      </c>
      <c r="AY15" s="419">
        <f>SUMIFS('F3 Änderungen ER'!$G$15:$G$289,'F3 Änderungen ER'!$B$15:$B$289,AU$7,'F3 Änderungen ER'!$C$15:$C$289,$B15)</f>
        <v>0</v>
      </c>
      <c r="AZ15" s="419">
        <f>SUMIFS('F3 Änderungen ER'!$H$15:$H$289,'F3 Änderungen ER'!$B$15:$B$289,AU$7,'F3 Änderungen ER'!$C$15:$C$289,$B15)</f>
        <v>0</v>
      </c>
      <c r="BA15" s="419">
        <f>SUMIFS('F3 Änderungen ER'!$I$15:$I$289,'F3 Änderungen ER'!$B$15:$B$289,AU$7,'F3 Änderungen ER'!$C$15:$C$289,$B15)</f>
        <v>0</v>
      </c>
      <c r="BC15" s="416"/>
      <c r="BD15" s="417"/>
      <c r="BE15" s="418">
        <f>SUMIFS('F3 Änderungen ER'!$E$15:$E$289,'F3 Änderungen ER'!$B$15:$B$289,BC$7,'F3 Änderungen ER'!$C$15:$C$289,$B15)</f>
        <v>0</v>
      </c>
      <c r="BF15" s="419">
        <f>SUMIFS('F3 Änderungen ER'!$F$15:$F$289,'F3 Änderungen ER'!$B$15:$B$289,BC$7,'F3 Änderungen ER'!$C$15:$C$289,$B15)</f>
        <v>0</v>
      </c>
      <c r="BG15" s="419">
        <f>SUMIFS('F3 Änderungen ER'!$G$15:$G$289,'F3 Änderungen ER'!$B$15:$B$289,BC$7,'F3 Änderungen ER'!$C$15:$C$289,$B15)</f>
        <v>0</v>
      </c>
      <c r="BH15" s="419">
        <f>SUMIFS('F3 Änderungen ER'!$H$15:$H$289,'F3 Änderungen ER'!$B$15:$B$289,BC$7,'F3 Änderungen ER'!$C$15:$C$289,$B15)</f>
        <v>0</v>
      </c>
      <c r="BI15" s="419">
        <f>SUMIFS('F3 Änderungen ER'!$I$15:$I$289,'F3 Änderungen ER'!$B$15:$B$289,BC$7,'F3 Änderungen ER'!$C$15:$C$289,$B15)</f>
        <v>0</v>
      </c>
    </row>
    <row r="16" spans="1:62" ht="11.1" customHeight="1">
      <c r="B16" s="374">
        <v>31</v>
      </c>
      <c r="C16" s="383"/>
      <c r="D16" s="1412" t="s">
        <v>85</v>
      </c>
      <c r="E16" s="1412"/>
      <c r="F16" s="1413"/>
      <c r="G16" s="420"/>
      <c r="H16" s="421"/>
      <c r="I16" s="422">
        <f t="shared" si="6"/>
        <v>-20</v>
      </c>
      <c r="J16" s="420">
        <f t="shared" si="7"/>
        <v>-20</v>
      </c>
      <c r="K16" s="420">
        <f t="shared" si="8"/>
        <v>-20</v>
      </c>
      <c r="L16" s="420">
        <f t="shared" si="9"/>
        <v>-20</v>
      </c>
      <c r="M16" s="423">
        <f t="shared" si="10"/>
        <v>-20</v>
      </c>
      <c r="N16" s="602" t="str">
        <f>IF(SUM(G16:M16)=SUM(O16:YQ16),"",SUM(O16:YQ16)-SUM(G16:M16))</f>
        <v/>
      </c>
      <c r="O16" s="420"/>
      <c r="P16" s="421"/>
      <c r="Q16" s="422">
        <f>SUMIFS('F3 Änderungen ER'!$E$15:$E$289,'F3 Änderungen ER'!$B$15:$B$289,O$7,'F3 Änderungen ER'!$C$15:$C$289,$B16)</f>
        <v>0</v>
      </c>
      <c r="R16" s="420">
        <f>SUMIFS('F3 Änderungen ER'!$F$15:$F$289,'F3 Änderungen ER'!$B$15:$B$289,O$7,'F3 Änderungen ER'!$C$15:$C$289,$B16)</f>
        <v>0</v>
      </c>
      <c r="S16" s="420">
        <f>SUMIFS('F3 Änderungen ER'!$G$15:$G$289,'F3 Änderungen ER'!$B$15:$B$289,O$7,'F3 Änderungen ER'!$C$15:$C$289,$B16)</f>
        <v>0</v>
      </c>
      <c r="T16" s="420">
        <f>SUMIFS('F3 Änderungen ER'!$H$15:$H$289,'F3 Änderungen ER'!$B$15:$B$289,O$7,'F3 Änderungen ER'!$C$15:$C$289,$B16)</f>
        <v>0</v>
      </c>
      <c r="U16" s="423">
        <f>SUMIFS('F3 Änderungen ER'!$I$15:$I$289,'F3 Änderungen ER'!$B$15:$B$289,O$7,'F3 Änderungen ER'!$C$15:$C$289,$B16)</f>
        <v>0</v>
      </c>
      <c r="W16" s="420"/>
      <c r="X16" s="421"/>
      <c r="Y16" s="422">
        <f>SUMIFS('F3 Änderungen ER'!$E$15:$E$289,'F3 Änderungen ER'!$B$15:$B$289,W$7,'F3 Änderungen ER'!$C$15:$C$289,$B16)</f>
        <v>-20</v>
      </c>
      <c r="Z16" s="420">
        <f>SUMIFS('F3 Änderungen ER'!$F$15:$F$289,'F3 Änderungen ER'!$B$15:$B$289,W$7,'F3 Änderungen ER'!$C$15:$C$289,$B16)</f>
        <v>-20</v>
      </c>
      <c r="AA16" s="420">
        <f>SUMIFS('F3 Änderungen ER'!$G$15:$G$289,'F3 Änderungen ER'!$B$15:$B$289,W$7,'F3 Änderungen ER'!$C$15:$C$289,$B16)</f>
        <v>-20</v>
      </c>
      <c r="AB16" s="420">
        <f>SUMIFS('F3 Änderungen ER'!$H$15:$H$289,'F3 Änderungen ER'!$B$15:$B$289,W$7,'F3 Änderungen ER'!$C$15:$C$289,$B16)</f>
        <v>-20</v>
      </c>
      <c r="AC16" s="423">
        <f>SUMIFS('F3 Änderungen ER'!$I$15:$I$289,'F3 Änderungen ER'!$B$15:$B$289,W$7,'F3 Änderungen ER'!$C$15:$C$289,$B16)</f>
        <v>-20</v>
      </c>
      <c r="AE16" s="420"/>
      <c r="AF16" s="421"/>
      <c r="AG16" s="422">
        <f>SUMIFS('F3 Änderungen ER'!$E$15:$E$289,'F3 Änderungen ER'!$B$15:$B$289,AE$7,'F3 Änderungen ER'!$C$15:$C$289,$B16)</f>
        <v>0</v>
      </c>
      <c r="AH16" s="420">
        <f>SUMIFS('F3 Änderungen ER'!$F$15:$F$289,'F3 Änderungen ER'!$B$15:$B$289,AE$7,'F3 Änderungen ER'!$C$15:$C$289,$B16)</f>
        <v>0</v>
      </c>
      <c r="AI16" s="420">
        <f>SUMIFS('F3 Änderungen ER'!$G$15:$G$289,'F3 Änderungen ER'!$B$15:$B$289,AE$7,'F3 Änderungen ER'!$C$15:$C$289,$B16)</f>
        <v>0</v>
      </c>
      <c r="AJ16" s="420">
        <f>SUMIFS('F3 Änderungen ER'!$H$15:$H$289,'F3 Änderungen ER'!$B$15:$B$289,AE$7,'F3 Änderungen ER'!$C$15:$C$289,$B16)</f>
        <v>0</v>
      </c>
      <c r="AK16" s="423">
        <f>SUMIFS('F3 Änderungen ER'!$I$15:$I$289,'F3 Änderungen ER'!$B$15:$B$289,AE$7,'F3 Änderungen ER'!$C$15:$C$289,$B16)</f>
        <v>0</v>
      </c>
      <c r="AM16" s="420"/>
      <c r="AN16" s="421"/>
      <c r="AO16" s="422">
        <f>SUMIFS('F3 Änderungen ER'!$E$15:$E$289,'F3 Änderungen ER'!$B$15:$B$289,AM$7,'F3 Änderungen ER'!$C$15:$C$289,$B16)</f>
        <v>0</v>
      </c>
      <c r="AP16" s="420">
        <f>SUMIFS('F3 Änderungen ER'!$F$15:$F$289,'F3 Änderungen ER'!$B$15:$B$289,AM$7,'F3 Änderungen ER'!$C$15:$C$289,$B16)</f>
        <v>0</v>
      </c>
      <c r="AQ16" s="420">
        <f>SUMIFS('F3 Änderungen ER'!$G$15:$G$289,'F3 Änderungen ER'!$B$15:$B$289,AM$7,'F3 Änderungen ER'!$C$15:$C$289,$B16)</f>
        <v>0</v>
      </c>
      <c r="AR16" s="420">
        <f>SUMIFS('F3 Änderungen ER'!$H$15:$H$289,'F3 Änderungen ER'!$B$15:$B$289,AM$7,'F3 Änderungen ER'!$C$15:$C$289,$B16)</f>
        <v>0</v>
      </c>
      <c r="AS16" s="423">
        <f>SUMIFS('F3 Änderungen ER'!$I$15:$I$289,'F3 Änderungen ER'!$B$15:$B$289,AM$7,'F3 Änderungen ER'!$C$15:$C$289,$B16)</f>
        <v>0</v>
      </c>
      <c r="AU16" s="420"/>
      <c r="AV16" s="421"/>
      <c r="AW16" s="422">
        <f>SUMIFS('F3 Änderungen ER'!$E$15:$E$289,'F3 Änderungen ER'!$B$15:$B$289,AU$7,'F3 Änderungen ER'!$C$15:$C$289,$B16)</f>
        <v>0</v>
      </c>
      <c r="AX16" s="420">
        <f>SUMIFS('F3 Änderungen ER'!$F$15:$F$289,'F3 Änderungen ER'!$B$15:$B$289,AU$7,'F3 Änderungen ER'!$C$15:$C$289,$B16)</f>
        <v>0</v>
      </c>
      <c r="AY16" s="420">
        <f>SUMIFS('F3 Änderungen ER'!$G$15:$G$289,'F3 Änderungen ER'!$B$15:$B$289,AU$7,'F3 Änderungen ER'!$C$15:$C$289,$B16)</f>
        <v>0</v>
      </c>
      <c r="AZ16" s="420">
        <f>SUMIFS('F3 Änderungen ER'!$H$15:$H$289,'F3 Änderungen ER'!$B$15:$B$289,AU$7,'F3 Änderungen ER'!$C$15:$C$289,$B16)</f>
        <v>0</v>
      </c>
      <c r="BA16" s="423">
        <f>SUMIFS('F3 Änderungen ER'!$I$15:$I$289,'F3 Änderungen ER'!$B$15:$B$289,AU$7,'F3 Änderungen ER'!$C$15:$C$289,$B16)</f>
        <v>0</v>
      </c>
      <c r="BC16" s="420"/>
      <c r="BD16" s="421"/>
      <c r="BE16" s="422">
        <f>SUMIFS('F3 Änderungen ER'!$E$15:$E$289,'F3 Änderungen ER'!$B$15:$B$289,BC$7,'F3 Änderungen ER'!$C$15:$C$289,$B16)</f>
        <v>0</v>
      </c>
      <c r="BF16" s="420">
        <f>SUMIFS('F3 Änderungen ER'!$F$15:$F$289,'F3 Änderungen ER'!$B$15:$B$289,BC$7,'F3 Änderungen ER'!$C$15:$C$289,$B16)</f>
        <v>0</v>
      </c>
      <c r="BG16" s="420">
        <f>SUMIFS('F3 Änderungen ER'!$G$15:$G$289,'F3 Änderungen ER'!$B$15:$B$289,BC$7,'F3 Änderungen ER'!$C$15:$C$289,$B16)</f>
        <v>0</v>
      </c>
      <c r="BH16" s="420">
        <f>SUMIFS('F3 Änderungen ER'!$H$15:$H$289,'F3 Änderungen ER'!$B$15:$B$289,BC$7,'F3 Änderungen ER'!$C$15:$C$289,$B16)</f>
        <v>0</v>
      </c>
      <c r="BI16" s="423">
        <f>SUMIFS('F3 Änderungen ER'!$I$15:$I$289,'F3 Änderungen ER'!$B$15:$B$289,BC$7,'F3 Änderungen ER'!$C$15:$C$289,$B16)</f>
        <v>0</v>
      </c>
    </row>
    <row r="17" spans="2:62" s="660" customFormat="1" ht="11.1" customHeight="1">
      <c r="B17" s="661">
        <v>33</v>
      </c>
      <c r="C17" s="667"/>
      <c r="D17" s="1428" t="s">
        <v>86</v>
      </c>
      <c r="E17" s="1428"/>
      <c r="F17" s="1429"/>
      <c r="G17" s="420"/>
      <c r="H17" s="421"/>
      <c r="I17" s="590">
        <f t="shared" si="6"/>
        <v>0</v>
      </c>
      <c r="J17" s="668">
        <f t="shared" si="7"/>
        <v>0</v>
      </c>
      <c r="K17" s="668">
        <f t="shared" si="8"/>
        <v>0</v>
      </c>
      <c r="L17" s="668">
        <f t="shared" si="9"/>
        <v>0</v>
      </c>
      <c r="M17" s="669">
        <f t="shared" si="10"/>
        <v>0</v>
      </c>
      <c r="N17" s="602" t="str">
        <f>IF(SUM(G17:M17)=SUM(O17:YQ17),"",SUM(O17:YQ17)-SUM(G17:M17))</f>
        <v/>
      </c>
      <c r="O17" s="420"/>
      <c r="P17" s="421"/>
      <c r="Q17" s="422">
        <f>SUMIFS('F3 Änderungen ER'!$E$15:$E$289,'F3 Änderungen ER'!$B$15:$B$289,O$7,'F3 Änderungen ER'!$C$15:$C$289,$B17)</f>
        <v>0</v>
      </c>
      <c r="R17" s="420">
        <f>SUMIFS('F3 Änderungen ER'!$F$15:$F$289,'F3 Änderungen ER'!$B$15:$B$289,O$7,'F3 Änderungen ER'!$C$15:$C$289,$B17)</f>
        <v>0</v>
      </c>
      <c r="S17" s="420">
        <f>SUMIFS('F3 Änderungen ER'!$G$15:$G$289,'F3 Änderungen ER'!$B$15:$B$289,O$7,'F3 Änderungen ER'!$C$15:$C$289,$B17)</f>
        <v>0</v>
      </c>
      <c r="T17" s="420">
        <f>SUMIFS('F3 Änderungen ER'!$H$15:$H$289,'F3 Änderungen ER'!$B$15:$B$289,O$7,'F3 Änderungen ER'!$C$15:$C$289,$B17)</f>
        <v>0</v>
      </c>
      <c r="U17" s="423">
        <f>SUMIFS('F3 Änderungen ER'!$I$15:$I$289,'F3 Änderungen ER'!$B$15:$B$289,O$7,'F3 Änderungen ER'!$C$15:$C$289,$B17)</f>
        <v>0</v>
      </c>
      <c r="W17" s="420"/>
      <c r="X17" s="421"/>
      <c r="Y17" s="422">
        <f>SUMIFS('F3 Änderungen ER'!$E$15:$E$289,'F3 Änderungen ER'!$B$15:$B$289,W$7,'F3 Änderungen ER'!$C$15:$C$289,$B17)</f>
        <v>0</v>
      </c>
      <c r="Z17" s="420">
        <f>SUMIFS('F3 Änderungen ER'!$F$15:$F$289,'F3 Änderungen ER'!$B$15:$B$289,W$7,'F3 Änderungen ER'!$C$15:$C$289,$B17)</f>
        <v>0</v>
      </c>
      <c r="AA17" s="420">
        <f>SUMIFS('F3 Änderungen ER'!$G$15:$G$289,'F3 Änderungen ER'!$B$15:$B$289,W$7,'F3 Änderungen ER'!$C$15:$C$289,$B17)</f>
        <v>0</v>
      </c>
      <c r="AB17" s="420">
        <f>SUMIFS('F3 Änderungen ER'!$H$15:$H$289,'F3 Änderungen ER'!$B$15:$B$289,W$7,'F3 Änderungen ER'!$C$15:$C$289,$B17)</f>
        <v>0</v>
      </c>
      <c r="AC17" s="423">
        <f>SUMIFS('F3 Änderungen ER'!$I$15:$I$289,'F3 Änderungen ER'!$B$15:$B$289,W$7,'F3 Änderungen ER'!$C$15:$C$289,$B17)</f>
        <v>0</v>
      </c>
      <c r="AE17" s="420"/>
      <c r="AF17" s="421"/>
      <c r="AG17" s="422">
        <f>SUMIFS('F3 Änderungen ER'!$E$15:$E$289,'F3 Änderungen ER'!$B$15:$B$289,AE$7,'F3 Änderungen ER'!$C$15:$C$289,$B17)</f>
        <v>0</v>
      </c>
      <c r="AH17" s="420">
        <f>SUMIFS('F3 Änderungen ER'!$F$15:$F$289,'F3 Änderungen ER'!$B$15:$B$289,AE$7,'F3 Änderungen ER'!$C$15:$C$289,$B17)</f>
        <v>0</v>
      </c>
      <c r="AI17" s="420">
        <f>SUMIFS('F3 Änderungen ER'!$G$15:$G$289,'F3 Änderungen ER'!$B$15:$B$289,AE$7,'F3 Änderungen ER'!$C$15:$C$289,$B17)</f>
        <v>0</v>
      </c>
      <c r="AJ17" s="420">
        <f>SUMIFS('F3 Änderungen ER'!$H$15:$H$289,'F3 Änderungen ER'!$B$15:$B$289,AE$7,'F3 Änderungen ER'!$C$15:$C$289,$B17)</f>
        <v>0</v>
      </c>
      <c r="AK17" s="423">
        <f>SUMIFS('F3 Änderungen ER'!$I$15:$I$289,'F3 Änderungen ER'!$B$15:$B$289,AE$7,'F3 Änderungen ER'!$C$15:$C$289,$B17)</f>
        <v>0</v>
      </c>
      <c r="AM17" s="420"/>
      <c r="AN17" s="421"/>
      <c r="AO17" s="422">
        <f>SUMIFS('F3 Änderungen ER'!$E$15:$E$289,'F3 Änderungen ER'!$B$15:$B$289,AM$7,'F3 Änderungen ER'!$C$15:$C$289,$B17)</f>
        <v>0</v>
      </c>
      <c r="AP17" s="420">
        <f>SUMIFS('F3 Änderungen ER'!$F$15:$F$289,'F3 Änderungen ER'!$B$15:$B$289,AM$7,'F3 Änderungen ER'!$C$15:$C$289,$B17)</f>
        <v>0</v>
      </c>
      <c r="AQ17" s="420">
        <f>SUMIFS('F3 Änderungen ER'!$G$15:$G$289,'F3 Änderungen ER'!$B$15:$B$289,AM$7,'F3 Änderungen ER'!$C$15:$C$289,$B17)</f>
        <v>0</v>
      </c>
      <c r="AR17" s="420">
        <f>SUMIFS('F3 Änderungen ER'!$H$15:$H$289,'F3 Änderungen ER'!$B$15:$B$289,AM$7,'F3 Änderungen ER'!$C$15:$C$289,$B17)</f>
        <v>0</v>
      </c>
      <c r="AS17" s="423">
        <f>SUMIFS('F3 Änderungen ER'!$I$15:$I$289,'F3 Änderungen ER'!$B$15:$B$289,AM$7,'F3 Änderungen ER'!$C$15:$C$289,$B17)</f>
        <v>0</v>
      </c>
      <c r="AU17" s="420"/>
      <c r="AV17" s="421"/>
      <c r="AW17" s="422">
        <f>SUMIFS('F3 Änderungen ER'!$E$15:$E$289,'F3 Änderungen ER'!$B$15:$B$289,AU$7,'F3 Änderungen ER'!$C$15:$C$289,$B17)</f>
        <v>0</v>
      </c>
      <c r="AX17" s="420">
        <f>SUMIFS('F3 Änderungen ER'!$F$15:$F$289,'F3 Änderungen ER'!$B$15:$B$289,AU$7,'F3 Änderungen ER'!$C$15:$C$289,$B17)</f>
        <v>0</v>
      </c>
      <c r="AY17" s="420">
        <f>SUMIFS('F3 Änderungen ER'!$G$15:$G$289,'F3 Änderungen ER'!$B$15:$B$289,AU$7,'F3 Änderungen ER'!$C$15:$C$289,$B17)</f>
        <v>0</v>
      </c>
      <c r="AZ17" s="420">
        <f>SUMIFS('F3 Änderungen ER'!$H$15:$H$289,'F3 Änderungen ER'!$B$15:$B$289,AU$7,'F3 Änderungen ER'!$C$15:$C$289,$B17)</f>
        <v>0</v>
      </c>
      <c r="BA17" s="423">
        <f>SUMIFS('F3 Änderungen ER'!$I$15:$I$289,'F3 Änderungen ER'!$B$15:$B$289,AU$7,'F3 Änderungen ER'!$C$15:$C$289,$B17)</f>
        <v>0</v>
      </c>
      <c r="BC17" s="420"/>
      <c r="BD17" s="421"/>
      <c r="BE17" s="422">
        <f>SUMIFS('F3 Änderungen ER'!$E$15:$E$289,'F3 Änderungen ER'!$B$15:$B$289,BC$7,'F3 Änderungen ER'!$C$15:$C$289,$B17)</f>
        <v>0</v>
      </c>
      <c r="BF17" s="420">
        <f>SUMIFS('F3 Änderungen ER'!$F$15:$F$289,'F3 Änderungen ER'!$B$15:$B$289,BC$7,'F3 Änderungen ER'!$C$15:$C$289,$B17)</f>
        <v>0</v>
      </c>
      <c r="BG17" s="420">
        <f>SUMIFS('F3 Änderungen ER'!$G$15:$G$289,'F3 Änderungen ER'!$B$15:$B$289,BC$7,'F3 Änderungen ER'!$C$15:$C$289,$B17)</f>
        <v>0</v>
      </c>
      <c r="BH17" s="420">
        <f>SUMIFS('F3 Änderungen ER'!$H$15:$H$289,'F3 Änderungen ER'!$B$15:$B$289,BC$7,'F3 Änderungen ER'!$C$15:$C$289,$B17)</f>
        <v>0</v>
      </c>
      <c r="BI17" s="423">
        <f>SUMIFS('F3 Änderungen ER'!$I$15:$I$289,'F3 Änderungen ER'!$B$15:$B$289,BC$7,'F3 Änderungen ER'!$C$15:$C$289,$B17)</f>
        <v>0</v>
      </c>
    </row>
    <row r="18" spans="2:62" s="660" customFormat="1" ht="11.1" customHeight="1">
      <c r="B18" s="661">
        <v>34</v>
      </c>
      <c r="C18" s="667"/>
      <c r="D18" s="1428" t="s">
        <v>87</v>
      </c>
      <c r="E18" s="1428"/>
      <c r="F18" s="1429"/>
      <c r="G18" s="420"/>
      <c r="H18" s="421"/>
      <c r="I18" s="422">
        <f t="shared" si="6"/>
        <v>0</v>
      </c>
      <c r="J18" s="423">
        <f t="shared" si="7"/>
        <v>0</v>
      </c>
      <c r="K18" s="423">
        <f t="shared" si="8"/>
        <v>0</v>
      </c>
      <c r="L18" s="423">
        <f t="shared" si="9"/>
        <v>0</v>
      </c>
      <c r="M18" s="423">
        <f t="shared" si="10"/>
        <v>0</v>
      </c>
      <c r="N18" s="602" t="str">
        <f>IF(SUM(G18:M18)=SUM(O18:YQ18),"",SUM(O18:YQ18)-SUM(G18:M18))</f>
        <v/>
      </c>
      <c r="O18" s="420"/>
      <c r="P18" s="421"/>
      <c r="Q18" s="422">
        <f>SUMIFS('F3 Änderungen ER'!$E$15:$E$289,'F3 Änderungen ER'!$B$15:$B$289,O$7,'F3 Änderungen ER'!$C$15:$C$289,$B18)</f>
        <v>0</v>
      </c>
      <c r="R18" s="423">
        <f>SUMIFS('F3 Änderungen ER'!$F$15:$F$289,'F3 Änderungen ER'!$B$15:$B$289,O$7,'F3 Änderungen ER'!$C$15:$C$289,$B18)</f>
        <v>0</v>
      </c>
      <c r="S18" s="423">
        <f>SUMIFS('F3 Änderungen ER'!$G$15:$G$289,'F3 Änderungen ER'!$B$15:$B$289,O$7,'F3 Änderungen ER'!$C$15:$C$289,$B18)</f>
        <v>0</v>
      </c>
      <c r="T18" s="423">
        <f>SUMIFS('F3 Änderungen ER'!$H$15:$H$289,'F3 Änderungen ER'!$B$15:$B$289,O$7,'F3 Änderungen ER'!$C$15:$C$289,$B18)</f>
        <v>0</v>
      </c>
      <c r="U18" s="423">
        <f>SUMIFS('F3 Änderungen ER'!$I$15:$I$289,'F3 Änderungen ER'!$B$15:$B$289,O$7,'F3 Änderungen ER'!$C$15:$C$289,$B18)</f>
        <v>0</v>
      </c>
      <c r="V18" s="665"/>
      <c r="W18" s="420"/>
      <c r="X18" s="421"/>
      <c r="Y18" s="422">
        <f>SUMIFS('F3 Änderungen ER'!$E$15:$E$289,'F3 Änderungen ER'!$B$15:$B$289,W$7,'F3 Änderungen ER'!$C$15:$C$289,$B18)</f>
        <v>0</v>
      </c>
      <c r="Z18" s="423">
        <f>SUMIFS('F3 Änderungen ER'!$F$15:$F$289,'F3 Änderungen ER'!$B$15:$B$289,W$7,'F3 Änderungen ER'!$C$15:$C$289,$B18)</f>
        <v>0</v>
      </c>
      <c r="AA18" s="423">
        <f>SUMIFS('F3 Änderungen ER'!$G$15:$G$289,'F3 Änderungen ER'!$B$15:$B$289,W$7,'F3 Änderungen ER'!$C$15:$C$289,$B18)</f>
        <v>0</v>
      </c>
      <c r="AB18" s="423">
        <f>SUMIFS('F3 Änderungen ER'!$H$15:$H$289,'F3 Änderungen ER'!$B$15:$B$289,W$7,'F3 Änderungen ER'!$C$15:$C$289,$B18)</f>
        <v>0</v>
      </c>
      <c r="AC18" s="423">
        <f>SUMIFS('F3 Änderungen ER'!$I$15:$I$289,'F3 Änderungen ER'!$B$15:$B$289,W$7,'F3 Änderungen ER'!$C$15:$C$289,$B18)</f>
        <v>0</v>
      </c>
      <c r="AE18" s="420"/>
      <c r="AF18" s="421"/>
      <c r="AG18" s="422">
        <f>SUMIFS('F3 Änderungen ER'!$E$15:$E$289,'F3 Änderungen ER'!$B$15:$B$289,AE$7,'F3 Änderungen ER'!$C$15:$C$289,$B18)</f>
        <v>0</v>
      </c>
      <c r="AH18" s="423">
        <f>SUMIFS('F3 Änderungen ER'!$F$15:$F$289,'F3 Änderungen ER'!$B$15:$B$289,AE$7,'F3 Änderungen ER'!$C$15:$C$289,$B18)</f>
        <v>0</v>
      </c>
      <c r="AI18" s="423">
        <f>SUMIFS('F3 Änderungen ER'!$G$15:$G$289,'F3 Änderungen ER'!$B$15:$B$289,AE$7,'F3 Änderungen ER'!$C$15:$C$289,$B18)</f>
        <v>0</v>
      </c>
      <c r="AJ18" s="423">
        <f>SUMIFS('F3 Änderungen ER'!$H$15:$H$289,'F3 Änderungen ER'!$B$15:$B$289,AE$7,'F3 Änderungen ER'!$C$15:$C$289,$B18)</f>
        <v>0</v>
      </c>
      <c r="AK18" s="423">
        <f>SUMIFS('F3 Änderungen ER'!$I$15:$I$289,'F3 Änderungen ER'!$B$15:$B$289,AE$7,'F3 Änderungen ER'!$C$15:$C$289,$B18)</f>
        <v>0</v>
      </c>
      <c r="AM18" s="420"/>
      <c r="AN18" s="421"/>
      <c r="AO18" s="422">
        <f>SUMIFS('F3 Änderungen ER'!$E$15:$E$289,'F3 Änderungen ER'!$B$15:$B$289,AM$7,'F3 Änderungen ER'!$C$15:$C$289,$B18)</f>
        <v>0</v>
      </c>
      <c r="AP18" s="423">
        <f>SUMIFS('F3 Änderungen ER'!$F$15:$F$289,'F3 Änderungen ER'!$B$15:$B$289,AM$7,'F3 Änderungen ER'!$C$15:$C$289,$B18)</f>
        <v>0</v>
      </c>
      <c r="AQ18" s="423">
        <f>SUMIFS('F3 Änderungen ER'!$G$15:$G$289,'F3 Änderungen ER'!$B$15:$B$289,AM$7,'F3 Änderungen ER'!$C$15:$C$289,$B18)</f>
        <v>0</v>
      </c>
      <c r="AR18" s="423">
        <f>SUMIFS('F3 Änderungen ER'!$H$15:$H$289,'F3 Änderungen ER'!$B$15:$B$289,AM$7,'F3 Änderungen ER'!$C$15:$C$289,$B18)</f>
        <v>0</v>
      </c>
      <c r="AS18" s="423">
        <f>SUMIFS('F3 Änderungen ER'!$I$15:$I$289,'F3 Änderungen ER'!$B$15:$B$289,AM$7,'F3 Änderungen ER'!$C$15:$C$289,$B18)</f>
        <v>0</v>
      </c>
      <c r="AU18" s="420"/>
      <c r="AV18" s="421"/>
      <c r="AW18" s="422">
        <f>SUMIFS('F3 Änderungen ER'!$E$15:$E$289,'F3 Änderungen ER'!$B$15:$B$289,AU$7,'F3 Änderungen ER'!$C$15:$C$289,$B18)</f>
        <v>0</v>
      </c>
      <c r="AX18" s="423">
        <f>SUMIFS('F3 Änderungen ER'!$F$15:$F$289,'F3 Änderungen ER'!$B$15:$B$289,AU$7,'F3 Änderungen ER'!$C$15:$C$289,$B18)</f>
        <v>0</v>
      </c>
      <c r="AY18" s="423">
        <f>SUMIFS('F3 Änderungen ER'!$G$15:$G$289,'F3 Änderungen ER'!$B$15:$B$289,AU$7,'F3 Änderungen ER'!$C$15:$C$289,$B18)</f>
        <v>0</v>
      </c>
      <c r="AZ18" s="423">
        <f>SUMIFS('F3 Änderungen ER'!$H$15:$H$289,'F3 Änderungen ER'!$B$15:$B$289,AU$7,'F3 Änderungen ER'!$C$15:$C$289,$B18)</f>
        <v>0</v>
      </c>
      <c r="BA18" s="423">
        <f>SUMIFS('F3 Änderungen ER'!$I$15:$I$289,'F3 Änderungen ER'!$B$15:$B$289,AU$7,'F3 Änderungen ER'!$C$15:$C$289,$B18)</f>
        <v>0</v>
      </c>
      <c r="BC18" s="420"/>
      <c r="BD18" s="421"/>
      <c r="BE18" s="422">
        <f>SUMIFS('F3 Änderungen ER'!$E$15:$E$289,'F3 Änderungen ER'!$B$15:$B$289,BC$7,'F3 Änderungen ER'!$C$15:$C$289,$B18)</f>
        <v>0</v>
      </c>
      <c r="BF18" s="423">
        <f>SUMIFS('F3 Änderungen ER'!$F$15:$F$289,'F3 Änderungen ER'!$B$15:$B$289,BC$7,'F3 Änderungen ER'!$C$15:$C$289,$B18)</f>
        <v>0</v>
      </c>
      <c r="BG18" s="423">
        <f>SUMIFS('F3 Änderungen ER'!$G$15:$G$289,'F3 Änderungen ER'!$B$15:$B$289,BC$7,'F3 Änderungen ER'!$C$15:$C$289,$B18)</f>
        <v>0</v>
      </c>
      <c r="BH18" s="423">
        <f>SUMIFS('F3 Änderungen ER'!$H$15:$H$289,'F3 Änderungen ER'!$B$15:$B$289,BC$7,'F3 Änderungen ER'!$C$15:$C$289,$B18)</f>
        <v>0</v>
      </c>
      <c r="BI18" s="423">
        <f>SUMIFS('F3 Änderungen ER'!$I$15:$I$289,'F3 Änderungen ER'!$B$15:$B$289,BC$7,'F3 Änderungen ER'!$C$15:$C$289,$B18)</f>
        <v>0</v>
      </c>
    </row>
    <row r="19" spans="2:62" s="660" customFormat="1" ht="11.1" customHeight="1">
      <c r="B19" s="661"/>
      <c r="C19" s="662">
        <v>340</v>
      </c>
      <c r="D19" s="663" t="s">
        <v>357</v>
      </c>
      <c r="E19" s="663"/>
      <c r="F19" s="1260"/>
      <c r="G19" s="420"/>
      <c r="H19" s="421"/>
      <c r="I19" s="648">
        <f t="shared" si="6"/>
        <v>1.3625000000000003</v>
      </c>
      <c r="J19" s="649">
        <f t="shared" si="7"/>
        <v>7.0465937500000013</v>
      </c>
      <c r="K19" s="649">
        <f t="shared" si="8"/>
        <v>18.053457471249992</v>
      </c>
      <c r="L19" s="649">
        <f t="shared" si="9"/>
        <v>25.694038726231732</v>
      </c>
      <c r="M19" s="595">
        <f t="shared" si="10"/>
        <v>27.923137710814739</v>
      </c>
      <c r="N19" s="602"/>
      <c r="O19" s="420"/>
      <c r="P19" s="421"/>
      <c r="Q19" s="648">
        <f>SUMIFS('F3 Änderungen ER'!$E$15:$E$289,'F3 Änderungen ER'!$B$15:$B$289,O$7,'F3 Änderungen ER'!$C$15:$C$289,$C19)+IF('F0a Konfiguration'!$C$24='F2 Weiterführung ER'!O$7,'F5a Zinsänderungen'!$H$59,0)</f>
        <v>0</v>
      </c>
      <c r="R19" s="649">
        <f>SUMIFS('F3 Änderungen ER'!$F$15:$F$289,'F3 Änderungen ER'!$B$15:$B$289,O$7,'F3 Änderungen ER'!$C$15:$C$289,$C19)+IF('F0a Konfiguration'!$C$24='F2 Weiterführung ER'!O$7,'F5a Zinsänderungen'!$I$59,0)</f>
        <v>0</v>
      </c>
      <c r="S19" s="649">
        <f>SUMIFS('F3 Änderungen ER'!$G$15:$G$289,'F3 Änderungen ER'!$B$15:$B$289,O$7,'F3 Änderungen ER'!$C$15:$C$289,$C19)+IF('F0a Konfiguration'!$C$24='F2 Weiterführung ER'!O$7,'F5a Zinsänderungen'!$J$59,0)</f>
        <v>0</v>
      </c>
      <c r="T19" s="649">
        <f>SUMIFS('F3 Änderungen ER'!$H$15:$H$289,'F3 Änderungen ER'!$B$15:$B$289,O$7,'F3 Änderungen ER'!$C$15:$C$289,$C19)+IF('F0a Konfiguration'!$C$24='F2 Weiterführung ER'!O$7,'F5a Zinsänderungen'!$K$59,0)</f>
        <v>0</v>
      </c>
      <c r="U19" s="595">
        <f>SUMIFS('F3 Änderungen ER'!$I$15:$I$289,'F3 Änderungen ER'!$B$15:$B$289,O$7,'F3 Änderungen ER'!$C$15:$C$289,$C19)+IF('F0a Konfiguration'!$C$24='F2 Weiterführung ER'!O$7,'F5a Zinsänderungen'!$L$59,0)</f>
        <v>0</v>
      </c>
      <c r="V19" s="665"/>
      <c r="W19" s="420"/>
      <c r="X19" s="421"/>
      <c r="Y19" s="648">
        <f>SUMIFS('F3 Änderungen ER'!$E$15:$E$289,'F3 Änderungen ER'!$B$15:$B$289,W$7,'F3 Änderungen ER'!$C$15:$C$289,$C19)+IF('F0a Konfiguration'!$C$24='F2 Weiterführung ER'!W$7,'F5a Zinsänderungen'!$H$59,0)</f>
        <v>0</v>
      </c>
      <c r="Z19" s="649">
        <f>SUMIFS('F3 Änderungen ER'!$F$15:$F$289,'F3 Änderungen ER'!$B$15:$B$289,W$7,'F3 Änderungen ER'!$C$15:$C$289,$C19)+IF('F0a Konfiguration'!$C$24='F2 Weiterführung ER'!W$7,'F5a Zinsänderungen'!$I$59,0)</f>
        <v>0</v>
      </c>
      <c r="AA19" s="649">
        <f>SUMIFS('F3 Änderungen ER'!$G$15:$G$289,'F3 Änderungen ER'!$B$15:$B$289,W$7,'F3 Änderungen ER'!$C$15:$C$289,$C19)+IF('F0a Konfiguration'!$C$24='F2 Weiterführung ER'!W$7,'F5a Zinsänderungen'!$J$59,0)</f>
        <v>0</v>
      </c>
      <c r="AB19" s="649">
        <f>SUMIFS('F3 Änderungen ER'!$H$15:$H$289,'F3 Änderungen ER'!$B$15:$B$289,W$7,'F3 Änderungen ER'!$C$15:$C$289,$C19)+IF('F0a Konfiguration'!$C$24='F2 Weiterführung ER'!W$7,'F5a Zinsänderungen'!$K$59,0)</f>
        <v>0</v>
      </c>
      <c r="AC19" s="595">
        <f>SUMIFS('F3 Änderungen ER'!$I$15:$I$289,'F3 Änderungen ER'!$B$15:$B$289,W$7,'F3 Änderungen ER'!$C$15:$C$289,$C19)+IF('F0a Konfiguration'!$C$24='F2 Weiterführung ER'!W$7,'F5a Zinsänderungen'!$L$59,0)</f>
        <v>0</v>
      </c>
      <c r="AE19" s="420"/>
      <c r="AF19" s="421"/>
      <c r="AG19" s="648">
        <f>SUMIFS('F3 Änderungen ER'!$E$15:$E$289,'F3 Änderungen ER'!$B$15:$B$289,AE$7,'F3 Änderungen ER'!$C$15:$C$289,$C19)+IF('F0a Konfiguration'!$C$24='F2 Weiterführung ER'!AE$7,'F5a Zinsänderungen'!$H$59,0)</f>
        <v>0</v>
      </c>
      <c r="AH19" s="649">
        <f>SUMIFS('F3 Änderungen ER'!$F$15:$F$289,'F3 Änderungen ER'!$B$15:$B$289,AE$7,'F3 Änderungen ER'!$C$15:$C$289,$C19)+IF('F0a Konfiguration'!$C$24='F2 Weiterführung ER'!AE$7,'F5a Zinsänderungen'!$I$59,0)</f>
        <v>0</v>
      </c>
      <c r="AI19" s="649">
        <f>SUMIFS('F3 Änderungen ER'!$G$15:$G$289,'F3 Änderungen ER'!$B$15:$B$289,AE$7,'F3 Änderungen ER'!$C$15:$C$289,$C19)+IF('F0a Konfiguration'!$C$24='F2 Weiterführung ER'!AE$7,'F5a Zinsänderungen'!$J$59,0)</f>
        <v>0</v>
      </c>
      <c r="AJ19" s="649">
        <f>SUMIFS('F3 Änderungen ER'!$H$15:$H$289,'F3 Änderungen ER'!$B$15:$B$289,AE$7,'F3 Änderungen ER'!$C$15:$C$289,$C19)+IF('F0a Konfiguration'!$C$24='F2 Weiterführung ER'!AE$7,'F5a Zinsänderungen'!$K$59,0)</f>
        <v>0</v>
      </c>
      <c r="AK19" s="595">
        <f>SUMIFS('F3 Änderungen ER'!$I$15:$I$289,'F3 Änderungen ER'!$B$15:$B$289,AE$7,'F3 Änderungen ER'!$C$15:$C$289,$C19)+IF('F0a Konfiguration'!$C$24='F2 Weiterführung ER'!AE$7,'F5a Zinsänderungen'!$L$59,0)</f>
        <v>0</v>
      </c>
      <c r="AM19" s="420"/>
      <c r="AN19" s="421"/>
      <c r="AO19" s="648">
        <f>SUMIFS('F3 Änderungen ER'!$E$15:$E$289,'F3 Änderungen ER'!$B$15:$B$289,AM$7,'F3 Änderungen ER'!$C$15:$C$289,$C19)+IF('F0a Konfiguration'!$C$24='F2 Weiterführung ER'!AM$7,'F5a Zinsänderungen'!$H$59,0)</f>
        <v>0</v>
      </c>
      <c r="AP19" s="649">
        <f>SUMIFS('F3 Änderungen ER'!$F$15:$F$289,'F3 Änderungen ER'!$B$15:$B$289,AM$7,'F3 Änderungen ER'!$C$15:$C$289,$C19)+IF('F0a Konfiguration'!$C$24='F2 Weiterführung ER'!AM$7,'F5a Zinsänderungen'!$I$59,0)</f>
        <v>0</v>
      </c>
      <c r="AQ19" s="649">
        <f>SUMIFS('F3 Änderungen ER'!$G$15:$G$289,'F3 Änderungen ER'!$B$15:$B$289,AM$7,'F3 Änderungen ER'!$C$15:$C$289,$C19)+IF('F0a Konfiguration'!$C$24='F2 Weiterführung ER'!AM$7,'F5a Zinsänderungen'!$J$59,0)</f>
        <v>0</v>
      </c>
      <c r="AR19" s="649">
        <f>SUMIFS('F3 Änderungen ER'!$H$15:$H$289,'F3 Änderungen ER'!$B$15:$B$289,AM$7,'F3 Änderungen ER'!$C$15:$C$289,$C19)+IF('F0a Konfiguration'!$C$24='F2 Weiterführung ER'!AM$7,'F5a Zinsänderungen'!$K$59,0)</f>
        <v>0</v>
      </c>
      <c r="AS19" s="595">
        <f>SUMIFS('F3 Änderungen ER'!$I$15:$I$289,'F3 Änderungen ER'!$B$15:$B$289,AM$7,'F3 Änderungen ER'!$C$15:$C$289,$C19)+IF('F0a Konfiguration'!$C$24='F2 Weiterführung ER'!AM$7,'F5a Zinsänderungen'!$L$59,0)</f>
        <v>0</v>
      </c>
      <c r="AU19" s="420"/>
      <c r="AV19" s="421"/>
      <c r="AW19" s="648">
        <f>SUMIFS('F3 Änderungen ER'!$E$15:$E$289,'F3 Änderungen ER'!$B$15:$B$289,AU$7,'F3 Änderungen ER'!$C$15:$C$289,$C19)+IF('F0a Konfiguration'!$C$24='F2 Weiterführung ER'!AU$7,'F5a Zinsänderungen'!$H$59,0)</f>
        <v>0</v>
      </c>
      <c r="AX19" s="649">
        <f>SUMIFS('F3 Änderungen ER'!$F$15:$F$289,'F3 Änderungen ER'!$B$15:$B$289,AU$7,'F3 Änderungen ER'!$C$15:$C$289,$C19)+IF('F0a Konfiguration'!$C$24='F2 Weiterführung ER'!AU$7,'F5a Zinsänderungen'!$I$59,0)</f>
        <v>0</v>
      </c>
      <c r="AY19" s="649">
        <f>SUMIFS('F3 Änderungen ER'!$G$15:$G$289,'F3 Änderungen ER'!$B$15:$B$289,AU$7,'F3 Änderungen ER'!$C$15:$C$289,$C19)+IF('F0a Konfiguration'!$C$24='F2 Weiterführung ER'!AU$7,'F5a Zinsänderungen'!$J$59,0)</f>
        <v>0</v>
      </c>
      <c r="AZ19" s="649">
        <f>SUMIFS('F3 Änderungen ER'!$H$15:$H$289,'F3 Änderungen ER'!$B$15:$B$289,AU$7,'F3 Änderungen ER'!$C$15:$C$289,$C19)+IF('F0a Konfiguration'!$C$24='F2 Weiterführung ER'!AU$7,'F5a Zinsänderungen'!$K$59,0)</f>
        <v>0</v>
      </c>
      <c r="BA19" s="595">
        <f>SUMIFS('F3 Änderungen ER'!$I$15:$I$289,'F3 Änderungen ER'!$B$15:$B$289,AU$7,'F3 Änderungen ER'!$C$15:$C$289,$C19)+IF('F0a Konfiguration'!$C$24='F2 Weiterführung ER'!AU$7,'F5a Zinsänderungen'!$L$59,0)</f>
        <v>0</v>
      </c>
      <c r="BC19" s="420"/>
      <c r="BD19" s="421"/>
      <c r="BE19" s="648">
        <f>SUMIFS('F3 Änderungen ER'!$E$15:$E$289,'F3 Änderungen ER'!$B$15:$B$289,BC$7,'F3 Änderungen ER'!$C$15:$C$289,$C19)+IF('F0a Konfiguration'!$C$24='F2 Weiterführung ER'!BC$7,'F5a Zinsänderungen'!$H$59,0)</f>
        <v>1.3625000000000003</v>
      </c>
      <c r="BF19" s="649">
        <f>SUMIFS('F3 Änderungen ER'!$F$15:$F$289,'F3 Änderungen ER'!$B$15:$B$289,BC$7,'F3 Änderungen ER'!$C$15:$C$289,$C19)+IF('F0a Konfiguration'!$C$24='F2 Weiterführung ER'!BC$7,'F5a Zinsänderungen'!$I$59,0)</f>
        <v>7.0465937500000013</v>
      </c>
      <c r="BG19" s="649">
        <f>SUMIFS('F3 Änderungen ER'!$G$15:$G$289,'F3 Änderungen ER'!$B$15:$B$289,BC$7,'F3 Änderungen ER'!$C$15:$C$289,$C19)+IF('F0a Konfiguration'!$C$24='F2 Weiterführung ER'!BC$7,'F5a Zinsänderungen'!$J$59,0)</f>
        <v>18.053457471249992</v>
      </c>
      <c r="BH19" s="649">
        <f>SUMIFS('F3 Änderungen ER'!$H$15:$H$289,'F3 Änderungen ER'!$B$15:$B$289,BC$7,'F3 Änderungen ER'!$C$15:$C$289,$C19)+IF('F0a Konfiguration'!$C$24='F2 Weiterführung ER'!BC$7,'F5a Zinsänderungen'!$K$59,0)</f>
        <v>25.694038726231732</v>
      </c>
      <c r="BI19" s="595">
        <f>SUMIFS('F3 Änderungen ER'!$I$15:$I$289,'F3 Änderungen ER'!$B$15:$B$289,BC$7,'F3 Änderungen ER'!$C$15:$C$289,$C19)+IF('F0a Konfiguration'!$C$24='F2 Weiterführung ER'!BC$7,'F5a Zinsänderungen'!$L$59,0)</f>
        <v>27.923137710814739</v>
      </c>
    </row>
    <row r="20" spans="2:62" s="660" customFormat="1" ht="11.1" customHeight="1">
      <c r="B20" s="661"/>
      <c r="C20" s="662">
        <v>341</v>
      </c>
      <c r="D20" s="663" t="s">
        <v>209</v>
      </c>
      <c r="E20" s="663"/>
      <c r="F20" s="664"/>
      <c r="G20" s="646"/>
      <c r="H20" s="647"/>
      <c r="I20" s="648">
        <f t="shared" si="6"/>
        <v>0</v>
      </c>
      <c r="J20" s="649">
        <f t="shared" si="7"/>
        <v>0</v>
      </c>
      <c r="K20" s="649">
        <f t="shared" si="8"/>
        <v>0</v>
      </c>
      <c r="L20" s="649">
        <f t="shared" si="9"/>
        <v>0</v>
      </c>
      <c r="M20" s="595">
        <f t="shared" si="10"/>
        <v>0</v>
      </c>
      <c r="N20" s="602" t="str">
        <f t="shared" ref="N20:N33" si="11">IF(SUM(G20:M20)=SUM(O20:YQ20),"",SUM(O20:YQ20)-SUM(G20:M20))</f>
        <v/>
      </c>
      <c r="O20" s="646"/>
      <c r="P20" s="647"/>
      <c r="Q20" s="648">
        <f>SUMIFS('F3 Änderungen ER'!$E$15:$E$289,'F3 Änderungen ER'!$B$15:$B$289,O$7,'F3 Änderungen ER'!$C$15:$C$289,$C20)</f>
        <v>0</v>
      </c>
      <c r="R20" s="649">
        <f>SUMIFS('F3 Änderungen ER'!$F$15:$F$289,'F3 Änderungen ER'!$B$15:$B$289,O$7,'F3 Änderungen ER'!$C$15:$C$289,$C20)</f>
        <v>0</v>
      </c>
      <c r="S20" s="649">
        <f>SUMIFS('F3 Änderungen ER'!$G$15:$G$289,'F3 Änderungen ER'!$B$15:$B$289,O$7,'F3 Änderungen ER'!$C$15:$C$289,$C20)</f>
        <v>0</v>
      </c>
      <c r="T20" s="649">
        <f>SUMIFS('F3 Änderungen ER'!$H$15:$H$289,'F3 Änderungen ER'!$B$15:$B$289,O$7,'F3 Änderungen ER'!$C$15:$C$289,$C20)</f>
        <v>0</v>
      </c>
      <c r="U20" s="595">
        <f>SUMIFS('F3 Änderungen ER'!$I$15:$I$289,'F3 Änderungen ER'!$B$15:$B$289,O$7,'F3 Änderungen ER'!$C$15:$C$289,$C20)</f>
        <v>0</v>
      </c>
      <c r="V20" s="665"/>
      <c r="W20" s="646"/>
      <c r="X20" s="647"/>
      <c r="Y20" s="648">
        <f>SUMIFS('F3 Änderungen ER'!$E$15:$E$289,'F3 Änderungen ER'!$B$15:$B$289,W$7,'F3 Änderungen ER'!$C$15:$C$289,$C20)</f>
        <v>0</v>
      </c>
      <c r="Z20" s="649">
        <f>SUMIFS('F3 Änderungen ER'!$F$15:$F$289,'F3 Änderungen ER'!$B$15:$B$289,W$7,'F3 Änderungen ER'!$C$15:$C$289,$C20)</f>
        <v>0</v>
      </c>
      <c r="AA20" s="649">
        <f>SUMIFS('F3 Änderungen ER'!$G$15:$G$289,'F3 Änderungen ER'!$B$15:$B$289,W$7,'F3 Änderungen ER'!$C$15:$C$289,$C20)</f>
        <v>0</v>
      </c>
      <c r="AB20" s="649">
        <f>SUMIFS('F3 Änderungen ER'!$H$15:$H$289,'F3 Änderungen ER'!$B$15:$B$289,W$7,'F3 Änderungen ER'!$C$15:$C$289,$C20)</f>
        <v>0</v>
      </c>
      <c r="AC20" s="595">
        <f>SUMIFS('F3 Änderungen ER'!$I$15:$I$289,'F3 Änderungen ER'!$B$15:$B$289,W$7,'F3 Änderungen ER'!$C$15:$C$289,$C20)</f>
        <v>0</v>
      </c>
      <c r="AD20" s="665"/>
      <c r="AE20" s="646"/>
      <c r="AF20" s="647"/>
      <c r="AG20" s="648">
        <f>SUMIFS('F3 Änderungen ER'!$E$15:$E$289,'F3 Änderungen ER'!$B$15:$B$289,AE$7,'F3 Änderungen ER'!$C$15:$C$289,$C20)</f>
        <v>0</v>
      </c>
      <c r="AH20" s="649">
        <f>SUMIFS('F3 Änderungen ER'!$F$15:$F$289,'F3 Änderungen ER'!$B$15:$B$289,AE$7,'F3 Änderungen ER'!$C$15:$C$289,$C20)</f>
        <v>0</v>
      </c>
      <c r="AI20" s="649">
        <f>SUMIFS('F3 Änderungen ER'!$G$15:$G$289,'F3 Änderungen ER'!$B$15:$B$289,AE$7,'F3 Änderungen ER'!$C$15:$C$289,$C20)</f>
        <v>0</v>
      </c>
      <c r="AJ20" s="649">
        <f>SUMIFS('F3 Änderungen ER'!$H$15:$H$289,'F3 Änderungen ER'!$B$15:$B$289,AE$7,'F3 Änderungen ER'!$C$15:$C$289,$C20)</f>
        <v>0</v>
      </c>
      <c r="AK20" s="595">
        <f>SUMIFS('F3 Änderungen ER'!$I$15:$I$289,'F3 Änderungen ER'!$B$15:$B$289,AE$7,'F3 Änderungen ER'!$C$15:$C$289,$C20)</f>
        <v>0</v>
      </c>
      <c r="AL20" s="665"/>
      <c r="AM20" s="646"/>
      <c r="AN20" s="647"/>
      <c r="AO20" s="648">
        <f>SUMIFS('F3 Änderungen ER'!$E$15:$E$289,'F3 Änderungen ER'!$B$15:$B$289,AM$7,'F3 Änderungen ER'!$C$15:$C$289,$C20)</f>
        <v>0</v>
      </c>
      <c r="AP20" s="649">
        <f>SUMIFS('F3 Änderungen ER'!$F$15:$F$289,'F3 Änderungen ER'!$B$15:$B$289,AM$7,'F3 Änderungen ER'!$C$15:$C$289,$C20)</f>
        <v>0</v>
      </c>
      <c r="AQ20" s="649">
        <f>SUMIFS('F3 Änderungen ER'!$G$15:$G$289,'F3 Änderungen ER'!$B$15:$B$289,AM$7,'F3 Änderungen ER'!$C$15:$C$289,$C20)</f>
        <v>0</v>
      </c>
      <c r="AR20" s="649">
        <f>SUMIFS('F3 Änderungen ER'!$H$15:$H$289,'F3 Änderungen ER'!$B$15:$B$289,AM$7,'F3 Änderungen ER'!$C$15:$C$289,$C20)</f>
        <v>0</v>
      </c>
      <c r="AS20" s="595">
        <f>SUMIFS('F3 Änderungen ER'!$I$15:$I$289,'F3 Änderungen ER'!$B$15:$B$289,AM$7,'F3 Änderungen ER'!$C$15:$C$289,$C20)</f>
        <v>0</v>
      </c>
      <c r="AT20" s="665"/>
      <c r="AU20" s="646"/>
      <c r="AV20" s="647"/>
      <c r="AW20" s="648">
        <f>SUMIFS('F3 Änderungen ER'!$E$15:$E$289,'F3 Änderungen ER'!$B$15:$B$289,AU$7,'F3 Änderungen ER'!$C$15:$C$289,$C20)</f>
        <v>0</v>
      </c>
      <c r="AX20" s="649">
        <f>SUMIFS('F3 Änderungen ER'!$F$15:$F$289,'F3 Änderungen ER'!$B$15:$B$289,AU$7,'F3 Änderungen ER'!$C$15:$C$289,$C20)</f>
        <v>0</v>
      </c>
      <c r="AY20" s="649">
        <f>SUMIFS('F3 Änderungen ER'!$G$15:$G$289,'F3 Änderungen ER'!$B$15:$B$289,AU$7,'F3 Änderungen ER'!$C$15:$C$289,$C20)</f>
        <v>0</v>
      </c>
      <c r="AZ20" s="649">
        <f>SUMIFS('F3 Änderungen ER'!$H$15:$H$289,'F3 Änderungen ER'!$B$15:$B$289,AU$7,'F3 Änderungen ER'!$C$15:$C$289,$C20)</f>
        <v>0</v>
      </c>
      <c r="BA20" s="595">
        <f>SUMIFS('F3 Änderungen ER'!$I$15:$I$289,'F3 Änderungen ER'!$B$15:$B$289,AU$7,'F3 Änderungen ER'!$C$15:$C$289,$C20)</f>
        <v>0</v>
      </c>
      <c r="BB20" s="665"/>
      <c r="BC20" s="646"/>
      <c r="BD20" s="647"/>
      <c r="BE20" s="648">
        <f>SUMIFS('F3 Änderungen ER'!$E$15:$E$289,'F3 Änderungen ER'!$B$15:$B$289,BC$7,'F3 Änderungen ER'!$C$15:$C$289,$C20)</f>
        <v>0</v>
      </c>
      <c r="BF20" s="649">
        <f>SUMIFS('F3 Änderungen ER'!$F$15:$F$289,'F3 Änderungen ER'!$B$15:$B$289,BC$7,'F3 Änderungen ER'!$C$15:$C$289,$C20)</f>
        <v>0</v>
      </c>
      <c r="BG20" s="649">
        <f>SUMIFS('F3 Änderungen ER'!$G$15:$G$289,'F3 Änderungen ER'!$B$15:$B$289,BC$7,'F3 Änderungen ER'!$C$15:$C$289,$C20)</f>
        <v>0</v>
      </c>
      <c r="BH20" s="649">
        <f>SUMIFS('F3 Änderungen ER'!$H$15:$H$289,'F3 Änderungen ER'!$B$15:$B$289,BC$7,'F3 Änderungen ER'!$C$15:$C$289,$C20)</f>
        <v>0</v>
      </c>
      <c r="BI20" s="595">
        <f>SUMIFS('F3 Änderungen ER'!$I$15:$I$289,'F3 Änderungen ER'!$B$15:$B$289,BC$7,'F3 Änderungen ER'!$C$15:$C$289,$C20)</f>
        <v>0</v>
      </c>
      <c r="BJ20" s="665"/>
    </row>
    <row r="21" spans="2:62" s="660" customFormat="1" ht="11.1" customHeight="1">
      <c r="B21" s="661"/>
      <c r="C21" s="662" t="s">
        <v>206</v>
      </c>
      <c r="D21" s="663" t="s">
        <v>210</v>
      </c>
      <c r="E21" s="663"/>
      <c r="F21" s="664"/>
      <c r="G21" s="646"/>
      <c r="H21" s="647"/>
      <c r="I21" s="648">
        <f t="shared" si="6"/>
        <v>0</v>
      </c>
      <c r="J21" s="649">
        <f t="shared" si="7"/>
        <v>0</v>
      </c>
      <c r="K21" s="649">
        <f t="shared" si="8"/>
        <v>0</v>
      </c>
      <c r="L21" s="649">
        <f t="shared" si="9"/>
        <v>0</v>
      </c>
      <c r="M21" s="595">
        <f t="shared" si="10"/>
        <v>0</v>
      </c>
      <c r="N21" s="602" t="str">
        <f t="shared" si="11"/>
        <v/>
      </c>
      <c r="O21" s="646"/>
      <c r="P21" s="647"/>
      <c r="Q21" s="648">
        <f>SUMIFS('F3 Änderungen ER'!$E$15:$E$289,'F3 Änderungen ER'!$B$15:$B$289,O$7,'F3 Änderungen ER'!$C$15:$C$289,$C21)</f>
        <v>0</v>
      </c>
      <c r="R21" s="649">
        <f>SUMIFS('F3 Änderungen ER'!$F$15:$F$289,'F3 Änderungen ER'!$B$15:$B$289,O$7,'F3 Änderungen ER'!$C$15:$C$289,$C21)</f>
        <v>0</v>
      </c>
      <c r="S21" s="649">
        <f>SUMIFS('F3 Änderungen ER'!$G$15:$G$289,'F3 Änderungen ER'!$B$15:$B$289,O$7,'F3 Änderungen ER'!$C$15:$C$289,$C21)</f>
        <v>0</v>
      </c>
      <c r="T21" s="649">
        <f>SUMIFS('F3 Änderungen ER'!$H$15:$H$289,'F3 Änderungen ER'!$B$15:$B$289,O$7,'F3 Änderungen ER'!$C$15:$C$289,$C21)</f>
        <v>0</v>
      </c>
      <c r="U21" s="595">
        <f>SUMIFS('F3 Änderungen ER'!$I$15:$I$289,'F3 Änderungen ER'!$B$15:$B$289,O$7,'F3 Änderungen ER'!$C$15:$C$289,$C21)</f>
        <v>0</v>
      </c>
      <c r="V21" s="665"/>
      <c r="W21" s="646"/>
      <c r="X21" s="647"/>
      <c r="Y21" s="648">
        <f>SUMIFS('F3 Änderungen ER'!$E$15:$E$289,'F3 Änderungen ER'!$B$15:$B$289,W$7,'F3 Änderungen ER'!$C$15:$C$289,$C21)</f>
        <v>0</v>
      </c>
      <c r="Z21" s="649">
        <f>SUMIFS('F3 Änderungen ER'!$F$15:$F$289,'F3 Änderungen ER'!$B$15:$B$289,W$7,'F3 Änderungen ER'!$C$15:$C$289,$C21)</f>
        <v>0</v>
      </c>
      <c r="AA21" s="649">
        <f>SUMIFS('F3 Änderungen ER'!$G$15:$G$289,'F3 Änderungen ER'!$B$15:$B$289,W$7,'F3 Änderungen ER'!$C$15:$C$289,$C21)</f>
        <v>0</v>
      </c>
      <c r="AB21" s="649">
        <f>SUMIFS('F3 Änderungen ER'!$H$15:$H$289,'F3 Änderungen ER'!$B$15:$B$289,W$7,'F3 Änderungen ER'!$C$15:$C$289,$C21)</f>
        <v>0</v>
      </c>
      <c r="AC21" s="595">
        <f>SUMIFS('F3 Änderungen ER'!$I$15:$I$289,'F3 Änderungen ER'!$B$15:$B$289,W$7,'F3 Änderungen ER'!$C$15:$C$289,$C21)</f>
        <v>0</v>
      </c>
      <c r="AD21" s="665"/>
      <c r="AE21" s="646"/>
      <c r="AF21" s="647"/>
      <c r="AG21" s="648">
        <f>SUMIFS('F3 Änderungen ER'!$E$15:$E$289,'F3 Änderungen ER'!$B$15:$B$289,AE$7,'F3 Änderungen ER'!$C$15:$C$289,$C21)</f>
        <v>0</v>
      </c>
      <c r="AH21" s="649">
        <f>SUMIFS('F3 Änderungen ER'!$F$15:$F$289,'F3 Änderungen ER'!$B$15:$B$289,AE$7,'F3 Änderungen ER'!$C$15:$C$289,$C21)</f>
        <v>0</v>
      </c>
      <c r="AI21" s="649">
        <f>SUMIFS('F3 Änderungen ER'!$G$15:$G$289,'F3 Änderungen ER'!$B$15:$B$289,AE$7,'F3 Änderungen ER'!$C$15:$C$289,$C21)</f>
        <v>0</v>
      </c>
      <c r="AJ21" s="649">
        <f>SUMIFS('F3 Änderungen ER'!$H$15:$H$289,'F3 Änderungen ER'!$B$15:$B$289,AE$7,'F3 Änderungen ER'!$C$15:$C$289,$C21)</f>
        <v>0</v>
      </c>
      <c r="AK21" s="595">
        <f>SUMIFS('F3 Änderungen ER'!$I$15:$I$289,'F3 Änderungen ER'!$B$15:$B$289,AE$7,'F3 Änderungen ER'!$C$15:$C$289,$C21)</f>
        <v>0</v>
      </c>
      <c r="AL21" s="665"/>
      <c r="AM21" s="646"/>
      <c r="AN21" s="647"/>
      <c r="AO21" s="648">
        <f>SUMIFS('F3 Änderungen ER'!$E$15:$E$289,'F3 Änderungen ER'!$B$15:$B$289,AM$7,'F3 Änderungen ER'!$C$15:$C$289,$C21)</f>
        <v>0</v>
      </c>
      <c r="AP21" s="649">
        <f>SUMIFS('F3 Änderungen ER'!$F$15:$F$289,'F3 Änderungen ER'!$B$15:$B$289,AM$7,'F3 Änderungen ER'!$C$15:$C$289,$C21)</f>
        <v>0</v>
      </c>
      <c r="AQ21" s="649">
        <f>SUMIFS('F3 Änderungen ER'!$G$15:$G$289,'F3 Änderungen ER'!$B$15:$B$289,AM$7,'F3 Änderungen ER'!$C$15:$C$289,$C21)</f>
        <v>0</v>
      </c>
      <c r="AR21" s="649">
        <f>SUMIFS('F3 Änderungen ER'!$H$15:$H$289,'F3 Änderungen ER'!$B$15:$B$289,AM$7,'F3 Änderungen ER'!$C$15:$C$289,$C21)</f>
        <v>0</v>
      </c>
      <c r="AS21" s="595">
        <f>SUMIFS('F3 Änderungen ER'!$I$15:$I$289,'F3 Änderungen ER'!$B$15:$B$289,AM$7,'F3 Änderungen ER'!$C$15:$C$289,$C21)</f>
        <v>0</v>
      </c>
      <c r="AT21" s="665"/>
      <c r="AU21" s="646"/>
      <c r="AV21" s="647"/>
      <c r="AW21" s="648">
        <f>SUMIFS('F3 Änderungen ER'!$E$15:$E$289,'F3 Änderungen ER'!$B$15:$B$289,AU$7,'F3 Änderungen ER'!$C$15:$C$289,$C21)</f>
        <v>0</v>
      </c>
      <c r="AX21" s="649">
        <f>SUMIFS('F3 Änderungen ER'!$F$15:$F$289,'F3 Änderungen ER'!$B$15:$B$289,AU$7,'F3 Änderungen ER'!$C$15:$C$289,$C21)</f>
        <v>0</v>
      </c>
      <c r="AY21" s="649">
        <f>SUMIFS('F3 Änderungen ER'!$G$15:$G$289,'F3 Änderungen ER'!$B$15:$B$289,AU$7,'F3 Änderungen ER'!$C$15:$C$289,$C21)</f>
        <v>0</v>
      </c>
      <c r="AZ21" s="649">
        <f>SUMIFS('F3 Änderungen ER'!$H$15:$H$289,'F3 Änderungen ER'!$B$15:$B$289,AU$7,'F3 Änderungen ER'!$C$15:$C$289,$C21)</f>
        <v>0</v>
      </c>
      <c r="BA21" s="595">
        <f>SUMIFS('F3 Änderungen ER'!$I$15:$I$289,'F3 Änderungen ER'!$B$15:$B$289,AU$7,'F3 Änderungen ER'!$C$15:$C$289,$C21)</f>
        <v>0</v>
      </c>
      <c r="BB21" s="665"/>
      <c r="BC21" s="646"/>
      <c r="BD21" s="647"/>
      <c r="BE21" s="648">
        <f>SUMIFS('F3 Änderungen ER'!$E$15:$E$289,'F3 Änderungen ER'!$B$15:$B$289,BC$7,'F3 Änderungen ER'!$C$15:$C$289,$C21)</f>
        <v>0</v>
      </c>
      <c r="BF21" s="649">
        <f>SUMIFS('F3 Änderungen ER'!$F$15:$F$289,'F3 Änderungen ER'!$B$15:$B$289,BC$7,'F3 Änderungen ER'!$C$15:$C$289,$C21)</f>
        <v>0</v>
      </c>
      <c r="BG21" s="649">
        <f>SUMIFS('F3 Änderungen ER'!$G$15:$G$289,'F3 Änderungen ER'!$B$15:$B$289,BC$7,'F3 Änderungen ER'!$C$15:$C$289,$C21)</f>
        <v>0</v>
      </c>
      <c r="BH21" s="649">
        <f>SUMIFS('F3 Änderungen ER'!$H$15:$H$289,'F3 Änderungen ER'!$B$15:$B$289,BC$7,'F3 Änderungen ER'!$C$15:$C$289,$C21)</f>
        <v>0</v>
      </c>
      <c r="BI21" s="595">
        <f>SUMIFS('F3 Änderungen ER'!$I$15:$I$289,'F3 Änderungen ER'!$B$15:$B$289,BC$7,'F3 Änderungen ER'!$C$15:$C$289,$C21)</f>
        <v>0</v>
      </c>
      <c r="BJ21" s="665"/>
    </row>
    <row r="22" spans="2:62" s="682" customFormat="1" ht="11.1" customHeight="1">
      <c r="B22" s="677">
        <v>35</v>
      </c>
      <c r="C22" s="678"/>
      <c r="D22" s="1467" t="s">
        <v>178</v>
      </c>
      <c r="E22" s="1467"/>
      <c r="F22" s="1468"/>
      <c r="G22" s="679"/>
      <c r="H22" s="680"/>
      <c r="I22" s="590"/>
      <c r="J22" s="649" t="s">
        <v>333</v>
      </c>
      <c r="K22" s="591"/>
      <c r="L22" s="591"/>
      <c r="M22" s="591"/>
      <c r="N22" s="602" t="str">
        <f t="shared" si="11"/>
        <v/>
      </c>
      <c r="O22" s="679"/>
      <c r="P22" s="680"/>
      <c r="Q22" s="590"/>
      <c r="R22" s="589"/>
      <c r="S22" s="591"/>
      <c r="T22" s="591"/>
      <c r="U22" s="591"/>
      <c r="W22" s="679"/>
      <c r="X22" s="680"/>
      <c r="Y22" s="590"/>
      <c r="Z22" s="589"/>
      <c r="AA22" s="591"/>
      <c r="AB22" s="591"/>
      <c r="AC22" s="591"/>
      <c r="AE22" s="679"/>
      <c r="AF22" s="680"/>
      <c r="AG22" s="590"/>
      <c r="AH22" s="589"/>
      <c r="AI22" s="591"/>
      <c r="AJ22" s="591"/>
      <c r="AK22" s="591"/>
      <c r="AM22" s="679"/>
      <c r="AN22" s="680"/>
      <c r="AO22" s="590"/>
      <c r="AP22" s="589"/>
      <c r="AQ22" s="591"/>
      <c r="AR22" s="591"/>
      <c r="AS22" s="591"/>
      <c r="AU22" s="679"/>
      <c r="AV22" s="680"/>
      <c r="AW22" s="590"/>
      <c r="AX22" s="589"/>
      <c r="AY22" s="591"/>
      <c r="AZ22" s="591"/>
      <c r="BA22" s="591"/>
      <c r="BC22" s="679"/>
      <c r="BD22" s="680"/>
      <c r="BE22" s="590"/>
      <c r="BF22" s="589"/>
      <c r="BG22" s="591"/>
      <c r="BH22" s="591"/>
      <c r="BI22" s="591"/>
    </row>
    <row r="23" spans="2:62" s="660" customFormat="1" ht="11.1" customHeight="1">
      <c r="B23" s="661"/>
      <c r="C23" s="662">
        <v>350</v>
      </c>
      <c r="D23" s="663" t="s">
        <v>199</v>
      </c>
      <c r="E23" s="663"/>
      <c r="F23" s="664"/>
      <c r="G23" s="646"/>
      <c r="H23" s="647"/>
      <c r="I23" s="590"/>
      <c r="J23" s="649" t="s">
        <v>333</v>
      </c>
      <c r="K23" s="591"/>
      <c r="L23" s="591"/>
      <c r="M23" s="591"/>
      <c r="N23" s="602" t="str">
        <f t="shared" si="11"/>
        <v/>
      </c>
      <c r="O23" s="646"/>
      <c r="P23" s="647"/>
      <c r="Q23" s="590"/>
      <c r="R23" s="589"/>
      <c r="S23" s="591"/>
      <c r="T23" s="591"/>
      <c r="U23" s="591"/>
      <c r="V23" s="665"/>
      <c r="W23" s="646"/>
      <c r="X23" s="647"/>
      <c r="Y23" s="590"/>
      <c r="Z23" s="589"/>
      <c r="AA23" s="591"/>
      <c r="AB23" s="591"/>
      <c r="AC23" s="591"/>
      <c r="AD23" s="665"/>
      <c r="AE23" s="646"/>
      <c r="AF23" s="647"/>
      <c r="AG23" s="590"/>
      <c r="AH23" s="589"/>
      <c r="AI23" s="591"/>
      <c r="AJ23" s="591"/>
      <c r="AK23" s="591"/>
      <c r="AL23" s="665"/>
      <c r="AM23" s="646"/>
      <c r="AN23" s="647"/>
      <c r="AO23" s="590"/>
      <c r="AP23" s="589"/>
      <c r="AQ23" s="591"/>
      <c r="AR23" s="591"/>
      <c r="AS23" s="591"/>
      <c r="AT23" s="665"/>
      <c r="AU23" s="646"/>
      <c r="AV23" s="647"/>
      <c r="AW23" s="590"/>
      <c r="AX23" s="589"/>
      <c r="AY23" s="591"/>
      <c r="AZ23" s="591"/>
      <c r="BA23" s="591"/>
      <c r="BB23" s="665"/>
      <c r="BC23" s="646"/>
      <c r="BD23" s="647"/>
      <c r="BE23" s="590"/>
      <c r="BF23" s="589"/>
      <c r="BG23" s="591"/>
      <c r="BH23" s="591"/>
      <c r="BI23" s="591"/>
      <c r="BJ23" s="665"/>
    </row>
    <row r="24" spans="2:62" s="660" customFormat="1" ht="11.1" customHeight="1">
      <c r="B24" s="661"/>
      <c r="C24" s="662">
        <v>3510</v>
      </c>
      <c r="D24" s="663" t="s">
        <v>204</v>
      </c>
      <c r="E24" s="663"/>
      <c r="F24" s="664"/>
      <c r="G24" s="646"/>
      <c r="H24" s="647"/>
      <c r="I24" s="590"/>
      <c r="J24" s="649" t="s">
        <v>333</v>
      </c>
      <c r="K24" s="591"/>
      <c r="L24" s="591"/>
      <c r="M24" s="591"/>
      <c r="N24" s="602" t="str">
        <f t="shared" si="11"/>
        <v/>
      </c>
      <c r="O24" s="646"/>
      <c r="P24" s="647"/>
      <c r="Q24" s="590"/>
      <c r="R24" s="589"/>
      <c r="S24" s="591"/>
      <c r="T24" s="591"/>
      <c r="U24" s="591"/>
      <c r="V24" s="665"/>
      <c r="W24" s="646"/>
      <c r="X24" s="647"/>
      <c r="Y24" s="590"/>
      <c r="Z24" s="589"/>
      <c r="AA24" s="591"/>
      <c r="AB24" s="591"/>
      <c r="AC24" s="591"/>
      <c r="AD24" s="665"/>
      <c r="AE24" s="646"/>
      <c r="AF24" s="647"/>
      <c r="AG24" s="590"/>
      <c r="AH24" s="589"/>
      <c r="AI24" s="591"/>
      <c r="AJ24" s="591"/>
      <c r="AK24" s="591"/>
      <c r="AL24" s="665"/>
      <c r="AM24" s="646"/>
      <c r="AN24" s="647"/>
      <c r="AO24" s="590"/>
      <c r="AP24" s="589"/>
      <c r="AQ24" s="591"/>
      <c r="AR24" s="591"/>
      <c r="AS24" s="591"/>
      <c r="AT24" s="665"/>
      <c r="AU24" s="646"/>
      <c r="AV24" s="647"/>
      <c r="AW24" s="590"/>
      <c r="AX24" s="589"/>
      <c r="AY24" s="591"/>
      <c r="AZ24" s="591"/>
      <c r="BA24" s="591"/>
      <c r="BB24" s="665"/>
      <c r="BC24" s="646"/>
      <c r="BD24" s="647"/>
      <c r="BE24" s="590"/>
      <c r="BF24" s="589"/>
      <c r="BG24" s="591"/>
      <c r="BH24" s="591"/>
      <c r="BI24" s="591"/>
      <c r="BJ24" s="665"/>
    </row>
    <row r="25" spans="2:62" s="660" customFormat="1" ht="11.1" customHeight="1">
      <c r="B25" s="661"/>
      <c r="C25" s="662">
        <v>3511</v>
      </c>
      <c r="D25" s="663" t="s">
        <v>205</v>
      </c>
      <c r="E25" s="663"/>
      <c r="F25" s="933"/>
      <c r="G25" s="646"/>
      <c r="H25" s="647"/>
      <c r="I25" s="590"/>
      <c r="J25" s="649" t="s">
        <v>333</v>
      </c>
      <c r="K25" s="591"/>
      <c r="L25" s="591"/>
      <c r="M25" s="591"/>
      <c r="N25" s="602" t="str">
        <f t="shared" si="11"/>
        <v/>
      </c>
      <c r="O25" s="646"/>
      <c r="P25" s="647"/>
      <c r="Q25" s="590"/>
      <c r="R25" s="589"/>
      <c r="S25" s="591"/>
      <c r="T25" s="591"/>
      <c r="U25" s="591"/>
      <c r="V25" s="665"/>
      <c r="W25" s="646"/>
      <c r="X25" s="647"/>
      <c r="Y25" s="590"/>
      <c r="Z25" s="589"/>
      <c r="AA25" s="591"/>
      <c r="AB25" s="591"/>
      <c r="AC25" s="591"/>
      <c r="AD25" s="665"/>
      <c r="AE25" s="646"/>
      <c r="AF25" s="647"/>
      <c r="AG25" s="590"/>
      <c r="AH25" s="589"/>
      <c r="AI25" s="591"/>
      <c r="AJ25" s="591"/>
      <c r="AK25" s="591"/>
      <c r="AL25" s="665"/>
      <c r="AM25" s="646"/>
      <c r="AN25" s="647"/>
      <c r="AO25" s="590"/>
      <c r="AP25" s="589"/>
      <c r="AQ25" s="591"/>
      <c r="AR25" s="591"/>
      <c r="AS25" s="591"/>
      <c r="AT25" s="665"/>
      <c r="AU25" s="646"/>
      <c r="AV25" s="647"/>
      <c r="AW25" s="590"/>
      <c r="AX25" s="589"/>
      <c r="AY25" s="591"/>
      <c r="AZ25" s="591"/>
      <c r="BA25" s="591"/>
      <c r="BB25" s="665"/>
      <c r="BC25" s="646"/>
      <c r="BD25" s="647"/>
      <c r="BE25" s="590"/>
      <c r="BF25" s="589"/>
      <c r="BG25" s="591"/>
      <c r="BH25" s="591"/>
      <c r="BI25" s="591"/>
      <c r="BJ25" s="665"/>
    </row>
    <row r="26" spans="2:62" s="660" customFormat="1" ht="11.1" customHeight="1">
      <c r="B26" s="661"/>
      <c r="C26" s="662">
        <v>3512</v>
      </c>
      <c r="D26" s="663" t="s">
        <v>292</v>
      </c>
      <c r="E26" s="663"/>
      <c r="F26" s="664"/>
      <c r="G26" s="646"/>
      <c r="H26" s="647"/>
      <c r="I26" s="590"/>
      <c r="J26" s="649" t="s">
        <v>333</v>
      </c>
      <c r="K26" s="591"/>
      <c r="L26" s="591"/>
      <c r="M26" s="591"/>
      <c r="N26" s="602" t="str">
        <f t="shared" si="11"/>
        <v/>
      </c>
      <c r="O26" s="646"/>
      <c r="P26" s="647"/>
      <c r="Q26" s="590"/>
      <c r="R26" s="589"/>
      <c r="S26" s="591"/>
      <c r="T26" s="591"/>
      <c r="U26" s="591"/>
      <c r="V26" s="665"/>
      <c r="W26" s="646"/>
      <c r="X26" s="647"/>
      <c r="Y26" s="590"/>
      <c r="Z26" s="589"/>
      <c r="AA26" s="591"/>
      <c r="AB26" s="591"/>
      <c r="AC26" s="591"/>
      <c r="AD26" s="665"/>
      <c r="AE26" s="646"/>
      <c r="AF26" s="647"/>
      <c r="AG26" s="590"/>
      <c r="AH26" s="589"/>
      <c r="AI26" s="591"/>
      <c r="AJ26" s="591"/>
      <c r="AK26" s="591"/>
      <c r="AL26" s="665"/>
      <c r="AM26" s="646"/>
      <c r="AN26" s="647"/>
      <c r="AO26" s="590"/>
      <c r="AP26" s="589"/>
      <c r="AQ26" s="591"/>
      <c r="AR26" s="591"/>
      <c r="AS26" s="591"/>
      <c r="AT26" s="665"/>
      <c r="AU26" s="646"/>
      <c r="AV26" s="647"/>
      <c r="AW26" s="590"/>
      <c r="AX26" s="589"/>
      <c r="AY26" s="591"/>
      <c r="AZ26" s="591"/>
      <c r="BA26" s="591"/>
      <c r="BB26" s="665"/>
      <c r="BC26" s="646"/>
      <c r="BD26" s="647"/>
      <c r="BE26" s="590"/>
      <c r="BF26" s="589"/>
      <c r="BG26" s="591"/>
      <c r="BH26" s="591"/>
      <c r="BI26" s="591"/>
      <c r="BJ26" s="665"/>
    </row>
    <row r="27" spans="2:62" s="660" customFormat="1" ht="11.1" customHeight="1">
      <c r="B27" s="661">
        <v>36</v>
      </c>
      <c r="C27" s="667"/>
      <c r="D27" s="1428" t="s">
        <v>88</v>
      </c>
      <c r="E27" s="1428"/>
      <c r="F27" s="1429"/>
      <c r="G27" s="420"/>
      <c r="H27" s="421"/>
      <c r="I27" s="422">
        <f t="shared" ref="I27:I33" si="12">SUMIFS(O27:PN27,$O$11:$PN$11,I$11)</f>
        <v>0</v>
      </c>
      <c r="J27" s="420">
        <f t="shared" ref="J27:J33" si="13">SUMIFS(O27:PN27,$O$11:$PN$11,J$11)</f>
        <v>-26</v>
      </c>
      <c r="K27" s="420">
        <f t="shared" ref="K27:K33" si="14">SUMIFS(O27:PN27,$O$11:$PN$11,K$11)</f>
        <v>-26</v>
      </c>
      <c r="L27" s="420">
        <f t="shared" ref="L27:L33" si="15">SUMIFS(O27:PN27,$O$11:$PN$11,L$11)</f>
        <v>-26</v>
      </c>
      <c r="M27" s="423">
        <f t="shared" ref="M27:M33" si="16">SUMIFS(O27:PN27,$O$11:$PN$11,M$11)</f>
        <v>-26</v>
      </c>
      <c r="N27" s="602" t="str">
        <f t="shared" si="11"/>
        <v/>
      </c>
      <c r="O27" s="420"/>
      <c r="P27" s="421"/>
      <c r="Q27" s="422">
        <f>SUMIFS('F3 Änderungen ER'!$E$15:$E$289,'F3 Änderungen ER'!$B$15:$B$289,O$7,'F3 Änderungen ER'!$C$15:$C$289,$B27)</f>
        <v>0</v>
      </c>
      <c r="R27" s="420">
        <f>SUMIFS('F3 Änderungen ER'!$F$15:$F$289,'F3 Änderungen ER'!$B$15:$B$289,O$7,'F3 Änderungen ER'!$C$15:$C$289,$B27)</f>
        <v>-13</v>
      </c>
      <c r="S27" s="420">
        <f>SUMIFS('F3 Änderungen ER'!$G$15:$G$289,'F3 Änderungen ER'!$B$15:$B$289,O$7,'F3 Änderungen ER'!$C$15:$C$289,$B27)</f>
        <v>-13</v>
      </c>
      <c r="T27" s="420">
        <f>SUMIFS('F3 Änderungen ER'!$H$15:$H$289,'F3 Änderungen ER'!$B$15:$B$289,O$7,'F3 Änderungen ER'!$C$15:$C$289,$B27)</f>
        <v>-13</v>
      </c>
      <c r="U27" s="423">
        <f>SUMIFS('F3 Änderungen ER'!$I$15:$I$289,'F3 Änderungen ER'!$B$15:$B$289,O$7,'F3 Änderungen ER'!$C$15:$C$289,$B27)</f>
        <v>-13</v>
      </c>
      <c r="W27" s="420"/>
      <c r="X27" s="421"/>
      <c r="Y27" s="422">
        <f>SUMIFS('F3 Änderungen ER'!$E$15:$E$289,'F3 Änderungen ER'!$B$15:$B$289,W$7,'F3 Änderungen ER'!$C$15:$C$289,$B27)</f>
        <v>0</v>
      </c>
      <c r="Z27" s="420">
        <f>SUMIFS('F3 Änderungen ER'!$F$15:$F$289,'F3 Änderungen ER'!$B$15:$B$289,W$7,'F3 Änderungen ER'!$C$15:$C$289,$B27)</f>
        <v>0</v>
      </c>
      <c r="AA27" s="420">
        <f>SUMIFS('F3 Änderungen ER'!$G$15:$G$289,'F3 Änderungen ER'!$B$15:$B$289,W$7,'F3 Änderungen ER'!$C$15:$C$289,$B27)</f>
        <v>0</v>
      </c>
      <c r="AB27" s="420">
        <f>SUMIFS('F3 Änderungen ER'!$H$15:$H$289,'F3 Änderungen ER'!$B$15:$B$289,W$7,'F3 Änderungen ER'!$C$15:$C$289,$B27)</f>
        <v>0</v>
      </c>
      <c r="AC27" s="423">
        <f>SUMIFS('F3 Änderungen ER'!$I$15:$I$289,'F3 Änderungen ER'!$B$15:$B$289,W$7,'F3 Änderungen ER'!$C$15:$C$289,$B27)</f>
        <v>0</v>
      </c>
      <c r="AE27" s="420"/>
      <c r="AF27" s="421"/>
      <c r="AG27" s="422">
        <f>SUMIFS('F3 Änderungen ER'!$E$15:$E$289,'F3 Änderungen ER'!$B$15:$B$289,AE$7,'F3 Änderungen ER'!$C$15:$C$289,$B27)</f>
        <v>0</v>
      </c>
      <c r="AH27" s="420">
        <f>SUMIFS('F3 Änderungen ER'!$F$15:$F$289,'F3 Änderungen ER'!$B$15:$B$289,AE$7,'F3 Änderungen ER'!$C$15:$C$289,$B27)</f>
        <v>0</v>
      </c>
      <c r="AI27" s="420">
        <f>SUMIFS('F3 Änderungen ER'!$G$15:$G$289,'F3 Änderungen ER'!$B$15:$B$289,AE$7,'F3 Änderungen ER'!$C$15:$C$289,$B27)</f>
        <v>0</v>
      </c>
      <c r="AJ27" s="420">
        <f>SUMIFS('F3 Änderungen ER'!$H$15:$H$289,'F3 Änderungen ER'!$B$15:$B$289,AE$7,'F3 Änderungen ER'!$C$15:$C$289,$B27)</f>
        <v>0</v>
      </c>
      <c r="AK27" s="423">
        <f>SUMIFS('F3 Änderungen ER'!$I$15:$I$289,'F3 Änderungen ER'!$B$15:$B$289,AE$7,'F3 Änderungen ER'!$C$15:$C$289,$B27)</f>
        <v>0</v>
      </c>
      <c r="AM27" s="420"/>
      <c r="AN27" s="421"/>
      <c r="AO27" s="422">
        <f>SUMIFS('F3 Änderungen ER'!$E$15:$E$289,'F3 Änderungen ER'!$B$15:$B$289,AM$7,'F3 Änderungen ER'!$C$15:$C$289,$B27)</f>
        <v>0</v>
      </c>
      <c r="AP27" s="420">
        <f>SUMIFS('F3 Änderungen ER'!$F$15:$F$289,'F3 Änderungen ER'!$B$15:$B$289,AM$7,'F3 Änderungen ER'!$C$15:$C$289,$B27)</f>
        <v>-13</v>
      </c>
      <c r="AQ27" s="420">
        <f>SUMIFS('F3 Änderungen ER'!$G$15:$G$289,'F3 Änderungen ER'!$B$15:$B$289,AM$7,'F3 Änderungen ER'!$C$15:$C$289,$B27)</f>
        <v>-13</v>
      </c>
      <c r="AR27" s="420">
        <f>SUMIFS('F3 Änderungen ER'!$H$15:$H$289,'F3 Änderungen ER'!$B$15:$B$289,AM$7,'F3 Änderungen ER'!$C$15:$C$289,$B27)</f>
        <v>-13</v>
      </c>
      <c r="AS27" s="423">
        <f>SUMIFS('F3 Änderungen ER'!$I$15:$I$289,'F3 Änderungen ER'!$B$15:$B$289,AM$7,'F3 Änderungen ER'!$C$15:$C$289,$B27)</f>
        <v>-13</v>
      </c>
      <c r="AU27" s="420"/>
      <c r="AV27" s="421"/>
      <c r="AW27" s="422">
        <f>SUMIFS('F3 Änderungen ER'!$E$15:$E$289,'F3 Änderungen ER'!$B$15:$B$289,AU$7,'F3 Änderungen ER'!$C$15:$C$289,$B27)</f>
        <v>0</v>
      </c>
      <c r="AX27" s="420">
        <f>SUMIFS('F3 Änderungen ER'!$F$15:$F$289,'F3 Änderungen ER'!$B$15:$B$289,AU$7,'F3 Änderungen ER'!$C$15:$C$289,$B27)</f>
        <v>0</v>
      </c>
      <c r="AY27" s="420">
        <f>SUMIFS('F3 Änderungen ER'!$G$15:$G$289,'F3 Änderungen ER'!$B$15:$B$289,AU$7,'F3 Änderungen ER'!$C$15:$C$289,$B27)</f>
        <v>0</v>
      </c>
      <c r="AZ27" s="420">
        <f>SUMIFS('F3 Änderungen ER'!$H$15:$H$289,'F3 Änderungen ER'!$B$15:$B$289,AU$7,'F3 Änderungen ER'!$C$15:$C$289,$B27)</f>
        <v>0</v>
      </c>
      <c r="BA27" s="423">
        <f>SUMIFS('F3 Änderungen ER'!$I$15:$I$289,'F3 Änderungen ER'!$B$15:$B$289,AU$7,'F3 Änderungen ER'!$C$15:$C$289,$B27)</f>
        <v>0</v>
      </c>
      <c r="BC27" s="420"/>
      <c r="BD27" s="421"/>
      <c r="BE27" s="422">
        <f>SUMIFS('F3 Änderungen ER'!$E$15:$E$289,'F3 Änderungen ER'!$B$15:$B$289,BC$7,'F3 Änderungen ER'!$C$15:$C$289,$B27)</f>
        <v>0</v>
      </c>
      <c r="BF27" s="420">
        <f>SUMIFS('F3 Änderungen ER'!$F$15:$F$289,'F3 Änderungen ER'!$B$15:$B$289,BC$7,'F3 Änderungen ER'!$C$15:$C$289,$B27)</f>
        <v>0</v>
      </c>
      <c r="BG27" s="420">
        <f>SUMIFS('F3 Änderungen ER'!$G$15:$G$289,'F3 Änderungen ER'!$B$15:$B$289,BC$7,'F3 Änderungen ER'!$C$15:$C$289,$B27)</f>
        <v>0</v>
      </c>
      <c r="BH27" s="420">
        <f>SUMIFS('F3 Änderungen ER'!$H$15:$H$289,'F3 Änderungen ER'!$B$15:$B$289,BC$7,'F3 Änderungen ER'!$C$15:$C$289,$B27)</f>
        <v>0</v>
      </c>
      <c r="BI27" s="423">
        <f>SUMIFS('F3 Änderungen ER'!$I$15:$I$289,'F3 Änderungen ER'!$B$15:$B$289,BC$7,'F3 Änderungen ER'!$C$15:$C$289,$B27)</f>
        <v>0</v>
      </c>
    </row>
    <row r="28" spans="2:62" s="665" customFormat="1" ht="11.1" customHeight="1">
      <c r="B28" s="676"/>
      <c r="C28" s="672">
        <v>362</v>
      </c>
      <c r="D28" s="673"/>
      <c r="E28" s="1469" t="s">
        <v>177</v>
      </c>
      <c r="F28" s="1470"/>
      <c r="G28" s="646"/>
      <c r="H28" s="647"/>
      <c r="I28" s="648">
        <f t="shared" si="12"/>
        <v>0</v>
      </c>
      <c r="J28" s="649">
        <f t="shared" si="13"/>
        <v>0</v>
      </c>
      <c r="K28" s="649">
        <f t="shared" si="14"/>
        <v>0</v>
      </c>
      <c r="L28" s="649">
        <f t="shared" si="15"/>
        <v>0</v>
      </c>
      <c r="M28" s="595">
        <f t="shared" si="16"/>
        <v>0</v>
      </c>
      <c r="N28" s="602" t="str">
        <f t="shared" si="11"/>
        <v/>
      </c>
      <c r="O28" s="646"/>
      <c r="P28" s="647"/>
      <c r="Q28" s="648">
        <f>SUMIFS('F3 Änderungen ER'!$E$15:$E$289,'F3 Änderungen ER'!$B$15:$B$289,O$7,'F3 Änderungen ER'!$C$15:$C$289,$C28)</f>
        <v>0</v>
      </c>
      <c r="R28" s="649">
        <f>SUMIFS('F3 Änderungen ER'!$F$15:$F$289,'F3 Änderungen ER'!$B$15:$B$289,O$7,'F3 Änderungen ER'!$C$15:$C$289,$C28)</f>
        <v>0</v>
      </c>
      <c r="S28" s="649">
        <f>SUMIFS('F3 Änderungen ER'!$G$15:$G$289,'F3 Änderungen ER'!$B$15:$B$289,O$7,'F3 Änderungen ER'!$C$15:$C$289,$C28)</f>
        <v>0</v>
      </c>
      <c r="T28" s="649">
        <f>SUMIFS('F3 Änderungen ER'!$H$15:$H$289,'F3 Änderungen ER'!$B$15:$B$289,O$7,'F3 Änderungen ER'!$C$15:$C$289,$C28)</f>
        <v>0</v>
      </c>
      <c r="U28" s="595">
        <f>SUMIFS('F3 Änderungen ER'!$I$15:$I$289,'F3 Änderungen ER'!$B$15:$B$289,O$7,'F3 Änderungen ER'!$C$15:$C$289,$C28)</f>
        <v>0</v>
      </c>
      <c r="W28" s="646"/>
      <c r="X28" s="647"/>
      <c r="Y28" s="648">
        <f>SUMIFS('F3 Änderungen ER'!$E$15:$E$289,'F3 Änderungen ER'!$B$15:$B$289,W$7,'F3 Änderungen ER'!$C$15:$C$289,$C28)</f>
        <v>0</v>
      </c>
      <c r="Z28" s="649">
        <f>SUMIFS('F3 Änderungen ER'!$F$15:$F$289,'F3 Änderungen ER'!$B$15:$B$289,W$7,'F3 Änderungen ER'!$C$15:$C$289,$C28)</f>
        <v>0</v>
      </c>
      <c r="AA28" s="649">
        <f>SUMIFS('F3 Änderungen ER'!$G$15:$G$289,'F3 Änderungen ER'!$B$15:$B$289,W$7,'F3 Änderungen ER'!$C$15:$C$289,$C28)</f>
        <v>0</v>
      </c>
      <c r="AB28" s="649">
        <f>SUMIFS('F3 Änderungen ER'!$H$15:$H$289,'F3 Änderungen ER'!$B$15:$B$289,W$7,'F3 Änderungen ER'!$C$15:$C$289,$C28)</f>
        <v>0</v>
      </c>
      <c r="AC28" s="595">
        <f>SUMIFS('F3 Änderungen ER'!$I$15:$I$289,'F3 Änderungen ER'!$B$15:$B$289,W$7,'F3 Änderungen ER'!$C$15:$C$289,$C28)</f>
        <v>0</v>
      </c>
      <c r="AE28" s="646"/>
      <c r="AF28" s="647"/>
      <c r="AG28" s="648">
        <f>SUMIFS('F3 Änderungen ER'!$E$15:$E$289,'F3 Änderungen ER'!$B$15:$B$289,AE$7,'F3 Änderungen ER'!$C$15:$C$289,$C28)</f>
        <v>0</v>
      </c>
      <c r="AH28" s="649">
        <f>SUMIFS('F3 Änderungen ER'!$F$15:$F$289,'F3 Änderungen ER'!$B$15:$B$289,AE$7,'F3 Änderungen ER'!$C$15:$C$289,$C28)</f>
        <v>0</v>
      </c>
      <c r="AI28" s="649">
        <f>SUMIFS('F3 Änderungen ER'!$G$15:$G$289,'F3 Änderungen ER'!$B$15:$B$289,AE$7,'F3 Änderungen ER'!$C$15:$C$289,$C28)</f>
        <v>0</v>
      </c>
      <c r="AJ28" s="649">
        <f>SUMIFS('F3 Änderungen ER'!$H$15:$H$289,'F3 Änderungen ER'!$B$15:$B$289,AE$7,'F3 Änderungen ER'!$C$15:$C$289,$C28)</f>
        <v>0</v>
      </c>
      <c r="AK28" s="595">
        <f>SUMIFS('F3 Änderungen ER'!$I$15:$I$289,'F3 Änderungen ER'!$B$15:$B$289,AE$7,'F3 Änderungen ER'!$C$15:$C$289,$C28)</f>
        <v>0</v>
      </c>
      <c r="AM28" s="646"/>
      <c r="AN28" s="647"/>
      <c r="AO28" s="648">
        <f>SUMIFS('F3 Änderungen ER'!$E$15:$E$289,'F3 Änderungen ER'!$B$15:$B$289,AM$7,'F3 Änderungen ER'!$C$15:$C$289,$C28)</f>
        <v>0</v>
      </c>
      <c r="AP28" s="649">
        <f>SUMIFS('F3 Änderungen ER'!$F$15:$F$289,'F3 Änderungen ER'!$B$15:$B$289,AM$7,'F3 Änderungen ER'!$C$15:$C$289,$C28)</f>
        <v>0</v>
      </c>
      <c r="AQ28" s="649">
        <f>SUMIFS('F3 Änderungen ER'!$G$15:$G$289,'F3 Änderungen ER'!$B$15:$B$289,AM$7,'F3 Änderungen ER'!$C$15:$C$289,$C28)</f>
        <v>0</v>
      </c>
      <c r="AR28" s="649">
        <f>SUMIFS('F3 Änderungen ER'!$H$15:$H$289,'F3 Änderungen ER'!$B$15:$B$289,AM$7,'F3 Änderungen ER'!$C$15:$C$289,$C28)</f>
        <v>0</v>
      </c>
      <c r="AS28" s="595">
        <f>SUMIFS('F3 Änderungen ER'!$I$15:$I$289,'F3 Änderungen ER'!$B$15:$B$289,AM$7,'F3 Änderungen ER'!$C$15:$C$289,$C28)</f>
        <v>0</v>
      </c>
      <c r="AU28" s="646"/>
      <c r="AV28" s="647"/>
      <c r="AW28" s="648">
        <f>SUMIFS('F3 Änderungen ER'!$E$15:$E$289,'F3 Änderungen ER'!$B$15:$B$289,AU$7,'F3 Änderungen ER'!$C$15:$C$289,$C28)</f>
        <v>0</v>
      </c>
      <c r="AX28" s="649">
        <f>SUMIFS('F3 Änderungen ER'!$F$15:$F$289,'F3 Änderungen ER'!$B$15:$B$289,AU$7,'F3 Änderungen ER'!$C$15:$C$289,$C28)</f>
        <v>0</v>
      </c>
      <c r="AY28" s="649">
        <f>SUMIFS('F3 Änderungen ER'!$G$15:$G$289,'F3 Änderungen ER'!$B$15:$B$289,AU$7,'F3 Änderungen ER'!$C$15:$C$289,$C28)</f>
        <v>0</v>
      </c>
      <c r="AZ28" s="649">
        <f>SUMIFS('F3 Änderungen ER'!$H$15:$H$289,'F3 Änderungen ER'!$B$15:$B$289,AU$7,'F3 Änderungen ER'!$C$15:$C$289,$C28)</f>
        <v>0</v>
      </c>
      <c r="BA28" s="595">
        <f>SUMIFS('F3 Änderungen ER'!$I$15:$I$289,'F3 Änderungen ER'!$B$15:$B$289,AU$7,'F3 Änderungen ER'!$C$15:$C$289,$C28)</f>
        <v>0</v>
      </c>
      <c r="BC28" s="646"/>
      <c r="BD28" s="647"/>
      <c r="BE28" s="648">
        <f>SUMIFS('F3 Änderungen ER'!$E$15:$E$289,'F3 Änderungen ER'!$B$15:$B$289,BC$7,'F3 Änderungen ER'!$C$15:$C$289,$C28)</f>
        <v>0</v>
      </c>
      <c r="BF28" s="649">
        <f>SUMIFS('F3 Änderungen ER'!$F$15:$F$289,'F3 Änderungen ER'!$B$15:$B$289,BC$7,'F3 Änderungen ER'!$C$15:$C$289,$C28)</f>
        <v>0</v>
      </c>
      <c r="BG28" s="649">
        <f>SUMIFS('F3 Änderungen ER'!$G$15:$G$289,'F3 Änderungen ER'!$B$15:$B$289,BC$7,'F3 Änderungen ER'!$C$15:$C$289,$C28)</f>
        <v>0</v>
      </c>
      <c r="BH28" s="649">
        <f>SUMIFS('F3 Änderungen ER'!$H$15:$H$289,'F3 Änderungen ER'!$B$15:$B$289,BC$7,'F3 Änderungen ER'!$C$15:$C$289,$C28)</f>
        <v>0</v>
      </c>
      <c r="BI28" s="595">
        <f>SUMIFS('F3 Änderungen ER'!$I$15:$I$289,'F3 Änderungen ER'!$B$15:$B$289,BC$7,'F3 Änderungen ER'!$C$15:$C$289,$C28)</f>
        <v>0</v>
      </c>
    </row>
    <row r="29" spans="2:62" s="665" customFormat="1" ht="11.1" customHeight="1">
      <c r="B29" s="676"/>
      <c r="C29" s="672">
        <v>366</v>
      </c>
      <c r="D29" s="673"/>
      <c r="E29" s="1469" t="s">
        <v>320</v>
      </c>
      <c r="F29" s="1470"/>
      <c r="G29" s="646"/>
      <c r="H29" s="647"/>
      <c r="I29" s="648">
        <f t="shared" si="12"/>
        <v>0</v>
      </c>
      <c r="J29" s="649">
        <f t="shared" si="13"/>
        <v>0</v>
      </c>
      <c r="K29" s="649">
        <f t="shared" si="14"/>
        <v>0</v>
      </c>
      <c r="L29" s="649">
        <f t="shared" si="15"/>
        <v>0</v>
      </c>
      <c r="M29" s="595">
        <f t="shared" si="16"/>
        <v>0</v>
      </c>
      <c r="N29" s="602" t="str">
        <f t="shared" si="11"/>
        <v/>
      </c>
      <c r="O29" s="646"/>
      <c r="P29" s="647"/>
      <c r="Q29" s="648">
        <f>SUMIFS('F3 Änderungen ER'!$E$15:$E$289,'F3 Änderungen ER'!$B$15:$B$289,O$7,'F3 Änderungen ER'!$C$15:$C$289,$C29)</f>
        <v>0</v>
      </c>
      <c r="R29" s="649">
        <f>SUMIFS('F3 Änderungen ER'!$F$15:$F$289,'F3 Änderungen ER'!$B$15:$B$289,O$7,'F3 Änderungen ER'!$C$15:$C$289,$C29)</f>
        <v>0</v>
      </c>
      <c r="S29" s="649">
        <f>SUMIFS('F3 Änderungen ER'!$G$15:$G$289,'F3 Änderungen ER'!$B$15:$B$289,O$7,'F3 Änderungen ER'!$C$15:$C$289,$C29)</f>
        <v>0</v>
      </c>
      <c r="T29" s="649">
        <f>SUMIFS('F3 Änderungen ER'!$H$15:$H$289,'F3 Änderungen ER'!$B$15:$B$289,O$7,'F3 Änderungen ER'!$C$15:$C$289,$C29)</f>
        <v>0</v>
      </c>
      <c r="U29" s="595">
        <f>SUMIFS('F3 Änderungen ER'!$I$15:$I$289,'F3 Änderungen ER'!$B$15:$B$289,O$7,'F3 Änderungen ER'!$C$15:$C$289,$C29)</f>
        <v>0</v>
      </c>
      <c r="W29" s="646"/>
      <c r="X29" s="647"/>
      <c r="Y29" s="648">
        <f>SUMIFS('F3 Änderungen ER'!$E$15:$E$289,'F3 Änderungen ER'!$B$15:$B$289,W$7,'F3 Änderungen ER'!$C$15:$C$289,$C29)</f>
        <v>0</v>
      </c>
      <c r="Z29" s="649">
        <f>SUMIFS('F3 Änderungen ER'!$F$15:$F$289,'F3 Änderungen ER'!$B$15:$B$289,W$7,'F3 Änderungen ER'!$C$15:$C$289,$C29)</f>
        <v>0</v>
      </c>
      <c r="AA29" s="649">
        <f>SUMIFS('F3 Änderungen ER'!$G$15:$G$289,'F3 Änderungen ER'!$B$15:$B$289,W$7,'F3 Änderungen ER'!$C$15:$C$289,$C29)</f>
        <v>0</v>
      </c>
      <c r="AB29" s="649">
        <f>SUMIFS('F3 Änderungen ER'!$H$15:$H$289,'F3 Änderungen ER'!$B$15:$B$289,W$7,'F3 Änderungen ER'!$C$15:$C$289,$C29)</f>
        <v>0</v>
      </c>
      <c r="AC29" s="595">
        <f>SUMIFS('F3 Änderungen ER'!$I$15:$I$289,'F3 Änderungen ER'!$B$15:$B$289,W$7,'F3 Änderungen ER'!$C$15:$C$289,$C29)</f>
        <v>0</v>
      </c>
      <c r="AE29" s="646"/>
      <c r="AF29" s="647"/>
      <c r="AG29" s="648">
        <f>SUMIFS('F3 Änderungen ER'!$E$15:$E$289,'F3 Änderungen ER'!$B$15:$B$289,AE$7,'F3 Änderungen ER'!$C$15:$C$289,$C29)</f>
        <v>0</v>
      </c>
      <c r="AH29" s="649">
        <f>SUMIFS('F3 Änderungen ER'!$F$15:$F$289,'F3 Änderungen ER'!$B$15:$B$289,AE$7,'F3 Änderungen ER'!$C$15:$C$289,$C29)</f>
        <v>0</v>
      </c>
      <c r="AI29" s="649">
        <f>SUMIFS('F3 Änderungen ER'!$G$15:$G$289,'F3 Änderungen ER'!$B$15:$B$289,AE$7,'F3 Änderungen ER'!$C$15:$C$289,$C29)</f>
        <v>0</v>
      </c>
      <c r="AJ29" s="649">
        <f>SUMIFS('F3 Änderungen ER'!$H$15:$H$289,'F3 Änderungen ER'!$B$15:$B$289,AE$7,'F3 Änderungen ER'!$C$15:$C$289,$C29)</f>
        <v>0</v>
      </c>
      <c r="AK29" s="595">
        <f>SUMIFS('F3 Änderungen ER'!$I$15:$I$289,'F3 Änderungen ER'!$B$15:$B$289,AE$7,'F3 Änderungen ER'!$C$15:$C$289,$C29)</f>
        <v>0</v>
      </c>
      <c r="AM29" s="646"/>
      <c r="AN29" s="647"/>
      <c r="AO29" s="648">
        <f>SUMIFS('F3 Änderungen ER'!$E$15:$E$289,'F3 Änderungen ER'!$B$15:$B$289,AM$7,'F3 Änderungen ER'!$C$15:$C$289,$C29)</f>
        <v>0</v>
      </c>
      <c r="AP29" s="649">
        <f>SUMIFS('F3 Änderungen ER'!$F$15:$F$289,'F3 Änderungen ER'!$B$15:$B$289,AM$7,'F3 Änderungen ER'!$C$15:$C$289,$C29)</f>
        <v>0</v>
      </c>
      <c r="AQ29" s="649">
        <f>SUMIFS('F3 Änderungen ER'!$G$15:$G$289,'F3 Änderungen ER'!$B$15:$B$289,AM$7,'F3 Änderungen ER'!$C$15:$C$289,$C29)</f>
        <v>0</v>
      </c>
      <c r="AR29" s="649">
        <f>SUMIFS('F3 Änderungen ER'!$H$15:$H$289,'F3 Änderungen ER'!$B$15:$B$289,AM$7,'F3 Änderungen ER'!$C$15:$C$289,$C29)</f>
        <v>0</v>
      </c>
      <c r="AS29" s="595">
        <f>SUMIFS('F3 Änderungen ER'!$I$15:$I$289,'F3 Änderungen ER'!$B$15:$B$289,AM$7,'F3 Änderungen ER'!$C$15:$C$289,$C29)</f>
        <v>0</v>
      </c>
      <c r="AU29" s="646"/>
      <c r="AV29" s="647"/>
      <c r="AW29" s="648">
        <f>SUMIFS('F3 Änderungen ER'!$E$15:$E$289,'F3 Änderungen ER'!$B$15:$B$289,AU$7,'F3 Änderungen ER'!$C$15:$C$289,$C29)</f>
        <v>0</v>
      </c>
      <c r="AX29" s="649">
        <f>SUMIFS('F3 Änderungen ER'!$F$15:$F$289,'F3 Änderungen ER'!$B$15:$B$289,AU$7,'F3 Änderungen ER'!$C$15:$C$289,$C29)</f>
        <v>0</v>
      </c>
      <c r="AY29" s="649">
        <f>SUMIFS('F3 Änderungen ER'!$G$15:$G$289,'F3 Änderungen ER'!$B$15:$B$289,AU$7,'F3 Änderungen ER'!$C$15:$C$289,$C29)</f>
        <v>0</v>
      </c>
      <c r="AZ29" s="649">
        <f>SUMIFS('F3 Änderungen ER'!$H$15:$H$289,'F3 Änderungen ER'!$B$15:$B$289,AU$7,'F3 Änderungen ER'!$C$15:$C$289,$C29)</f>
        <v>0</v>
      </c>
      <c r="BA29" s="595">
        <f>SUMIFS('F3 Änderungen ER'!$I$15:$I$289,'F3 Änderungen ER'!$B$15:$B$289,AU$7,'F3 Änderungen ER'!$C$15:$C$289,$C29)</f>
        <v>0</v>
      </c>
      <c r="BC29" s="646"/>
      <c r="BD29" s="647"/>
      <c r="BE29" s="648">
        <f>SUMIFS('F3 Änderungen ER'!$E$15:$E$289,'F3 Änderungen ER'!$B$15:$B$289,BC$7,'F3 Änderungen ER'!$C$15:$C$289,$C29)</f>
        <v>0</v>
      </c>
      <c r="BF29" s="649">
        <f>SUMIFS('F3 Änderungen ER'!$F$15:$F$289,'F3 Änderungen ER'!$B$15:$B$289,BC$7,'F3 Änderungen ER'!$C$15:$C$289,$C29)</f>
        <v>0</v>
      </c>
      <c r="BG29" s="649">
        <f>SUMIFS('F3 Änderungen ER'!$G$15:$G$289,'F3 Änderungen ER'!$B$15:$B$289,BC$7,'F3 Änderungen ER'!$C$15:$C$289,$C29)</f>
        <v>0</v>
      </c>
      <c r="BH29" s="649">
        <f>SUMIFS('F3 Änderungen ER'!$H$15:$H$289,'F3 Änderungen ER'!$B$15:$B$289,BC$7,'F3 Änderungen ER'!$C$15:$C$289,$C29)</f>
        <v>0</v>
      </c>
      <c r="BI29" s="595">
        <f>SUMIFS('F3 Änderungen ER'!$I$15:$I$289,'F3 Änderungen ER'!$B$15:$B$289,BC$7,'F3 Änderungen ER'!$C$15:$C$289,$C29)</f>
        <v>0</v>
      </c>
    </row>
    <row r="30" spans="2:62" ht="11.1" customHeight="1">
      <c r="B30" s="374">
        <v>37</v>
      </c>
      <c r="C30" s="383"/>
      <c r="D30" s="1412" t="s">
        <v>25</v>
      </c>
      <c r="E30" s="1412"/>
      <c r="F30" s="1413"/>
      <c r="G30" s="420"/>
      <c r="H30" s="421"/>
      <c r="I30" s="422">
        <f t="shared" si="12"/>
        <v>0</v>
      </c>
      <c r="J30" s="423">
        <f t="shared" si="13"/>
        <v>0</v>
      </c>
      <c r="K30" s="423">
        <f t="shared" si="14"/>
        <v>0</v>
      </c>
      <c r="L30" s="423">
        <f t="shared" si="15"/>
        <v>0</v>
      </c>
      <c r="M30" s="423">
        <f t="shared" si="16"/>
        <v>0</v>
      </c>
      <c r="N30" s="602" t="str">
        <f t="shared" si="11"/>
        <v/>
      </c>
      <c r="O30" s="420"/>
      <c r="P30" s="421"/>
      <c r="Q30" s="422">
        <f>SUMIFS('F3 Änderungen ER'!$E$15:$E$289,'F3 Änderungen ER'!$B$15:$B$289,O$7,'F3 Änderungen ER'!$C$15:$C$289,$B30)</f>
        <v>0</v>
      </c>
      <c r="R30" s="423">
        <f>SUMIFS('F3 Änderungen ER'!$F$15:$F$289,'F3 Änderungen ER'!$B$15:$B$289,O$7,'F3 Änderungen ER'!$C$15:$C$289,$B30)</f>
        <v>0</v>
      </c>
      <c r="S30" s="423">
        <f>SUMIFS('F3 Änderungen ER'!$G$15:$G$289,'F3 Änderungen ER'!$B$15:$B$289,O$7,'F3 Änderungen ER'!$C$15:$C$289,$B30)</f>
        <v>0</v>
      </c>
      <c r="T30" s="423">
        <f>SUMIFS('F3 Änderungen ER'!$H$15:$H$289,'F3 Änderungen ER'!$B$15:$B$289,O$7,'F3 Änderungen ER'!$C$15:$C$289,$B30)</f>
        <v>0</v>
      </c>
      <c r="U30" s="423">
        <f>SUMIFS('F3 Änderungen ER'!$I$15:$I$289,'F3 Änderungen ER'!$B$15:$B$289,O$7,'F3 Änderungen ER'!$C$15:$C$289,$B30)</f>
        <v>0</v>
      </c>
      <c r="W30" s="420"/>
      <c r="X30" s="421"/>
      <c r="Y30" s="422">
        <f>SUMIFS('F3 Änderungen ER'!$E$15:$E$289,'F3 Änderungen ER'!$B$15:$B$289,W$7,'F3 Änderungen ER'!$C$15:$C$289,$B30)</f>
        <v>0</v>
      </c>
      <c r="Z30" s="423">
        <f>SUMIFS('F3 Änderungen ER'!$F$15:$F$289,'F3 Änderungen ER'!$B$15:$B$289,W$7,'F3 Änderungen ER'!$C$15:$C$289,$B30)</f>
        <v>0</v>
      </c>
      <c r="AA30" s="423">
        <f>SUMIFS('F3 Änderungen ER'!$G$15:$G$289,'F3 Änderungen ER'!$B$15:$B$289,W$7,'F3 Änderungen ER'!$C$15:$C$289,$B30)</f>
        <v>0</v>
      </c>
      <c r="AB30" s="423">
        <f>SUMIFS('F3 Änderungen ER'!$H$15:$H$289,'F3 Änderungen ER'!$B$15:$B$289,W$7,'F3 Änderungen ER'!$C$15:$C$289,$B30)</f>
        <v>0</v>
      </c>
      <c r="AC30" s="423">
        <f>SUMIFS('F3 Änderungen ER'!$I$15:$I$289,'F3 Änderungen ER'!$B$15:$B$289,W$7,'F3 Änderungen ER'!$C$15:$C$289,$B30)</f>
        <v>0</v>
      </c>
      <c r="AE30" s="420"/>
      <c r="AF30" s="421"/>
      <c r="AG30" s="422">
        <f>SUMIFS('F3 Änderungen ER'!$E$15:$E$289,'F3 Änderungen ER'!$B$15:$B$289,AE$7,'F3 Änderungen ER'!$C$15:$C$289,$B30)</f>
        <v>0</v>
      </c>
      <c r="AH30" s="423">
        <f>SUMIFS('F3 Änderungen ER'!$F$15:$F$289,'F3 Änderungen ER'!$B$15:$B$289,AE$7,'F3 Änderungen ER'!$C$15:$C$289,$B30)</f>
        <v>0</v>
      </c>
      <c r="AI30" s="423">
        <f>SUMIFS('F3 Änderungen ER'!$G$15:$G$289,'F3 Änderungen ER'!$B$15:$B$289,AE$7,'F3 Änderungen ER'!$C$15:$C$289,$B30)</f>
        <v>0</v>
      </c>
      <c r="AJ30" s="423">
        <f>SUMIFS('F3 Änderungen ER'!$H$15:$H$289,'F3 Änderungen ER'!$B$15:$B$289,AE$7,'F3 Änderungen ER'!$C$15:$C$289,$B30)</f>
        <v>0</v>
      </c>
      <c r="AK30" s="423">
        <f>SUMIFS('F3 Änderungen ER'!$I$15:$I$289,'F3 Änderungen ER'!$B$15:$B$289,AE$7,'F3 Änderungen ER'!$C$15:$C$289,$B30)</f>
        <v>0</v>
      </c>
      <c r="AM30" s="420"/>
      <c r="AN30" s="421"/>
      <c r="AO30" s="422">
        <f>SUMIFS('F3 Änderungen ER'!$E$15:$E$289,'F3 Änderungen ER'!$B$15:$B$289,AM$7,'F3 Änderungen ER'!$C$15:$C$289,$B30)</f>
        <v>0</v>
      </c>
      <c r="AP30" s="423">
        <f>SUMIFS('F3 Änderungen ER'!$F$15:$F$289,'F3 Änderungen ER'!$B$15:$B$289,AM$7,'F3 Änderungen ER'!$C$15:$C$289,$B30)</f>
        <v>0</v>
      </c>
      <c r="AQ30" s="423">
        <f>SUMIFS('F3 Änderungen ER'!$G$15:$G$289,'F3 Änderungen ER'!$B$15:$B$289,AM$7,'F3 Änderungen ER'!$C$15:$C$289,$B30)</f>
        <v>0</v>
      </c>
      <c r="AR30" s="423">
        <f>SUMIFS('F3 Änderungen ER'!$H$15:$H$289,'F3 Änderungen ER'!$B$15:$B$289,AM$7,'F3 Änderungen ER'!$C$15:$C$289,$B30)</f>
        <v>0</v>
      </c>
      <c r="AS30" s="423">
        <f>SUMIFS('F3 Änderungen ER'!$I$15:$I$289,'F3 Änderungen ER'!$B$15:$B$289,AM$7,'F3 Änderungen ER'!$C$15:$C$289,$B30)</f>
        <v>0</v>
      </c>
      <c r="AU30" s="420"/>
      <c r="AV30" s="421"/>
      <c r="AW30" s="422">
        <f>SUMIFS('F3 Änderungen ER'!$E$15:$E$289,'F3 Änderungen ER'!$B$15:$B$289,AU$7,'F3 Änderungen ER'!$C$15:$C$289,$B30)</f>
        <v>0</v>
      </c>
      <c r="AX30" s="423">
        <f>SUMIFS('F3 Änderungen ER'!$F$15:$F$289,'F3 Änderungen ER'!$B$15:$B$289,AU$7,'F3 Änderungen ER'!$C$15:$C$289,$B30)</f>
        <v>0</v>
      </c>
      <c r="AY30" s="423">
        <f>SUMIFS('F3 Änderungen ER'!$G$15:$G$289,'F3 Änderungen ER'!$B$15:$B$289,AU$7,'F3 Änderungen ER'!$C$15:$C$289,$B30)</f>
        <v>0</v>
      </c>
      <c r="AZ30" s="423">
        <f>SUMIFS('F3 Änderungen ER'!$H$15:$H$289,'F3 Änderungen ER'!$B$15:$B$289,AU$7,'F3 Änderungen ER'!$C$15:$C$289,$B30)</f>
        <v>0</v>
      </c>
      <c r="BA30" s="423">
        <f>SUMIFS('F3 Änderungen ER'!$I$15:$I$289,'F3 Änderungen ER'!$B$15:$B$289,AU$7,'F3 Änderungen ER'!$C$15:$C$289,$B30)</f>
        <v>0</v>
      </c>
      <c r="BC30" s="420"/>
      <c r="BD30" s="421"/>
      <c r="BE30" s="422">
        <f>SUMIFS('F3 Änderungen ER'!$E$15:$E$289,'F3 Änderungen ER'!$B$15:$B$289,BC$7,'F3 Änderungen ER'!$C$15:$C$289,$B30)</f>
        <v>0</v>
      </c>
      <c r="BF30" s="423">
        <f>SUMIFS('F3 Änderungen ER'!$F$15:$F$289,'F3 Änderungen ER'!$B$15:$B$289,BC$7,'F3 Änderungen ER'!$C$15:$C$289,$B30)</f>
        <v>0</v>
      </c>
      <c r="BG30" s="423">
        <f>SUMIFS('F3 Änderungen ER'!$G$15:$G$289,'F3 Änderungen ER'!$B$15:$B$289,BC$7,'F3 Änderungen ER'!$C$15:$C$289,$B30)</f>
        <v>0</v>
      </c>
      <c r="BH30" s="423">
        <f>SUMIFS('F3 Änderungen ER'!$H$15:$H$289,'F3 Änderungen ER'!$B$15:$B$289,BC$7,'F3 Änderungen ER'!$C$15:$C$289,$B30)</f>
        <v>0</v>
      </c>
      <c r="BI30" s="423">
        <f>SUMIFS('F3 Änderungen ER'!$I$15:$I$289,'F3 Änderungen ER'!$B$15:$B$289,BC$7,'F3 Änderungen ER'!$C$15:$C$289,$B30)</f>
        <v>0</v>
      </c>
    </row>
    <row r="31" spans="2:62" ht="11.1" customHeight="1">
      <c r="B31" s="374">
        <v>38</v>
      </c>
      <c r="C31" s="383"/>
      <c r="D31" s="1412" t="s">
        <v>89</v>
      </c>
      <c r="E31" s="1412"/>
      <c r="F31" s="1413"/>
      <c r="G31" s="420"/>
      <c r="H31" s="421"/>
      <c r="I31" s="659">
        <f t="shared" si="12"/>
        <v>0</v>
      </c>
      <c r="J31" s="423">
        <f t="shared" si="13"/>
        <v>0</v>
      </c>
      <c r="K31" s="423">
        <f t="shared" si="14"/>
        <v>0</v>
      </c>
      <c r="L31" s="423">
        <f t="shared" si="15"/>
        <v>0</v>
      </c>
      <c r="M31" s="423">
        <f t="shared" si="16"/>
        <v>0</v>
      </c>
      <c r="N31" s="602" t="str">
        <f t="shared" si="11"/>
        <v/>
      </c>
      <c r="O31" s="420"/>
      <c r="P31" s="421"/>
      <c r="Q31" s="675">
        <f>SUMIFS('F3 Änderungen ER'!$E$15:$E$289,'F3 Änderungen ER'!$B$15:$B$289,O$7,'F3 Änderungen ER'!$C$15:$C$289,$B31)</f>
        <v>0</v>
      </c>
      <c r="R31" s="423">
        <f>SUMIFS('F3 Änderungen ER'!$F$15:$F$289,'F3 Änderungen ER'!$B$15:$B$289,O$7,'F3 Änderungen ER'!$C$15:$C$289,$B31)</f>
        <v>0</v>
      </c>
      <c r="S31" s="423">
        <f>SUMIFS('F3 Änderungen ER'!$G$15:$G$289,'F3 Änderungen ER'!$B$15:$B$289,O$7,'F3 Änderungen ER'!$C$15:$C$289,$B31)</f>
        <v>0</v>
      </c>
      <c r="T31" s="423">
        <f>SUMIFS('F3 Änderungen ER'!$H$15:$H$289,'F3 Änderungen ER'!$B$15:$B$289,O$7,'F3 Änderungen ER'!$C$15:$C$289,$B31)</f>
        <v>0</v>
      </c>
      <c r="U31" s="423">
        <f>SUMIFS('F3 Änderungen ER'!$I$15:$I$289,'F3 Änderungen ER'!$B$15:$B$289,O$7,'F3 Änderungen ER'!$C$15:$C$289,$B31)</f>
        <v>0</v>
      </c>
      <c r="W31" s="420"/>
      <c r="X31" s="421"/>
      <c r="Y31" s="675">
        <f>SUMIFS('F3 Änderungen ER'!$E$15:$E$289,'F3 Änderungen ER'!$B$15:$B$289,W$7,'F3 Änderungen ER'!$C$15:$C$289,$B31)</f>
        <v>0</v>
      </c>
      <c r="Z31" s="423">
        <f>SUMIFS('F3 Änderungen ER'!$F$15:$F$289,'F3 Änderungen ER'!$B$15:$B$289,W$7,'F3 Änderungen ER'!$C$15:$C$289,$B31)</f>
        <v>0</v>
      </c>
      <c r="AA31" s="423">
        <f>SUMIFS('F3 Änderungen ER'!$G$15:$G$289,'F3 Änderungen ER'!$B$15:$B$289,W$7,'F3 Änderungen ER'!$C$15:$C$289,$B31)</f>
        <v>0</v>
      </c>
      <c r="AB31" s="423">
        <f>SUMIFS('F3 Änderungen ER'!$H$15:$H$289,'F3 Änderungen ER'!$B$15:$B$289,W$7,'F3 Änderungen ER'!$C$15:$C$289,$B31)</f>
        <v>0</v>
      </c>
      <c r="AC31" s="423">
        <f>SUMIFS('F3 Änderungen ER'!$I$15:$I$289,'F3 Änderungen ER'!$B$15:$B$289,W$7,'F3 Änderungen ER'!$C$15:$C$289,$B31)</f>
        <v>0</v>
      </c>
      <c r="AE31" s="420"/>
      <c r="AF31" s="421"/>
      <c r="AG31" s="675">
        <f>SUMIFS('F3 Änderungen ER'!$E$15:$E$289,'F3 Änderungen ER'!$B$15:$B$289,AE$7,'F3 Änderungen ER'!$C$15:$C$289,$B31)</f>
        <v>0</v>
      </c>
      <c r="AH31" s="423">
        <f>SUMIFS('F3 Änderungen ER'!$F$15:$F$289,'F3 Änderungen ER'!$B$15:$B$289,AE$7,'F3 Änderungen ER'!$C$15:$C$289,$B31)</f>
        <v>0</v>
      </c>
      <c r="AI31" s="423">
        <f>SUMIFS('F3 Änderungen ER'!$G$15:$G$289,'F3 Änderungen ER'!$B$15:$B$289,AE$7,'F3 Änderungen ER'!$C$15:$C$289,$B31)</f>
        <v>0</v>
      </c>
      <c r="AJ31" s="423">
        <f>SUMIFS('F3 Änderungen ER'!$H$15:$H$289,'F3 Änderungen ER'!$B$15:$B$289,AE$7,'F3 Änderungen ER'!$C$15:$C$289,$B31)</f>
        <v>0</v>
      </c>
      <c r="AK31" s="423">
        <f>SUMIFS('F3 Änderungen ER'!$I$15:$I$289,'F3 Änderungen ER'!$B$15:$B$289,AE$7,'F3 Änderungen ER'!$C$15:$C$289,$B31)</f>
        <v>0</v>
      </c>
      <c r="AM31" s="420"/>
      <c r="AN31" s="421"/>
      <c r="AO31" s="675">
        <f>SUMIFS('F3 Änderungen ER'!$E$15:$E$289,'F3 Änderungen ER'!$B$15:$B$289,AM$7,'F3 Änderungen ER'!$C$15:$C$289,$B31)</f>
        <v>0</v>
      </c>
      <c r="AP31" s="423">
        <f>SUMIFS('F3 Änderungen ER'!$F$15:$F$289,'F3 Änderungen ER'!$B$15:$B$289,AM$7,'F3 Änderungen ER'!$C$15:$C$289,$B31)</f>
        <v>0</v>
      </c>
      <c r="AQ31" s="423">
        <f>SUMIFS('F3 Änderungen ER'!$G$15:$G$289,'F3 Änderungen ER'!$B$15:$B$289,AM$7,'F3 Änderungen ER'!$C$15:$C$289,$B31)</f>
        <v>0</v>
      </c>
      <c r="AR31" s="423">
        <f>SUMIFS('F3 Änderungen ER'!$H$15:$H$289,'F3 Änderungen ER'!$B$15:$B$289,AM$7,'F3 Änderungen ER'!$C$15:$C$289,$B31)</f>
        <v>0</v>
      </c>
      <c r="AS31" s="423">
        <f>SUMIFS('F3 Änderungen ER'!$I$15:$I$289,'F3 Änderungen ER'!$B$15:$B$289,AM$7,'F3 Änderungen ER'!$C$15:$C$289,$B31)</f>
        <v>0</v>
      </c>
      <c r="AU31" s="420"/>
      <c r="AV31" s="421"/>
      <c r="AW31" s="675">
        <f>SUMIFS('F3 Änderungen ER'!$E$15:$E$289,'F3 Änderungen ER'!$B$15:$B$289,AU$7,'F3 Änderungen ER'!$C$15:$C$289,$B31)</f>
        <v>0</v>
      </c>
      <c r="AX31" s="423">
        <f>SUMIFS('F3 Änderungen ER'!$F$15:$F$289,'F3 Änderungen ER'!$B$15:$B$289,AU$7,'F3 Änderungen ER'!$C$15:$C$289,$B31)</f>
        <v>0</v>
      </c>
      <c r="AY31" s="423">
        <f>SUMIFS('F3 Änderungen ER'!$G$15:$G$289,'F3 Änderungen ER'!$B$15:$B$289,AU$7,'F3 Änderungen ER'!$C$15:$C$289,$B31)</f>
        <v>0</v>
      </c>
      <c r="AZ31" s="423">
        <f>SUMIFS('F3 Änderungen ER'!$H$15:$H$289,'F3 Änderungen ER'!$B$15:$B$289,AU$7,'F3 Änderungen ER'!$C$15:$C$289,$B31)</f>
        <v>0</v>
      </c>
      <c r="BA31" s="423">
        <f>SUMIFS('F3 Änderungen ER'!$I$15:$I$289,'F3 Änderungen ER'!$B$15:$B$289,AU$7,'F3 Änderungen ER'!$C$15:$C$289,$B31)</f>
        <v>0</v>
      </c>
      <c r="BC31" s="420"/>
      <c r="BD31" s="421"/>
      <c r="BE31" s="675">
        <f>SUMIFS('F3 Änderungen ER'!$E$15:$E$289,'F3 Änderungen ER'!$B$15:$B$289,BC$7,'F3 Änderungen ER'!$C$15:$C$289,$B31)</f>
        <v>0</v>
      </c>
      <c r="BF31" s="423">
        <f>SUMIFS('F3 Änderungen ER'!$F$15:$F$289,'F3 Änderungen ER'!$B$15:$B$289,BC$7,'F3 Änderungen ER'!$C$15:$C$289,$B31)</f>
        <v>0</v>
      </c>
      <c r="BG31" s="423">
        <f>SUMIFS('F3 Änderungen ER'!$G$15:$G$289,'F3 Änderungen ER'!$B$15:$B$289,BC$7,'F3 Änderungen ER'!$C$15:$C$289,$B31)</f>
        <v>0</v>
      </c>
      <c r="BH31" s="423">
        <f>SUMIFS('F3 Änderungen ER'!$H$15:$H$289,'F3 Änderungen ER'!$B$15:$B$289,BC$7,'F3 Änderungen ER'!$C$15:$C$289,$B31)</f>
        <v>0</v>
      </c>
      <c r="BI31" s="423">
        <f>SUMIFS('F3 Änderungen ER'!$I$15:$I$289,'F3 Änderungen ER'!$B$15:$B$289,BC$7,'F3 Änderungen ER'!$C$15:$C$289,$B31)</f>
        <v>0</v>
      </c>
    </row>
    <row r="32" spans="2:62" ht="11.1" customHeight="1">
      <c r="B32" s="374">
        <v>39</v>
      </c>
      <c r="C32" s="383"/>
      <c r="D32" s="1412" t="s">
        <v>175</v>
      </c>
      <c r="E32" s="1412"/>
      <c r="F32" s="1413"/>
      <c r="G32" s="420"/>
      <c r="H32" s="421"/>
      <c r="I32" s="422">
        <f t="shared" si="12"/>
        <v>0</v>
      </c>
      <c r="J32" s="423">
        <f t="shared" si="13"/>
        <v>0</v>
      </c>
      <c r="K32" s="423">
        <f t="shared" si="14"/>
        <v>0</v>
      </c>
      <c r="L32" s="423">
        <f t="shared" si="15"/>
        <v>0</v>
      </c>
      <c r="M32" s="423">
        <f t="shared" si="16"/>
        <v>0</v>
      </c>
      <c r="N32" s="602" t="str">
        <f t="shared" si="11"/>
        <v/>
      </c>
      <c r="O32" s="420"/>
      <c r="P32" s="421"/>
      <c r="Q32" s="422">
        <f>SUMIFS('F3a Änderungen Verrechnungen'!$E$16:$E$500,'F3a Änderungen Verrechnungen'!$B$16:$B$500,O$7)+SUMIFS('F3 Änderungen ER'!$E$15:$E$289,'F3 Änderungen ER'!$B$15:$B$289,O$7,'F3 Änderungen ER'!$C$15:$C$289,$B32)</f>
        <v>0</v>
      </c>
      <c r="R32" s="423">
        <f>SUMIFS('F3a Änderungen Verrechnungen'!$F$16:$F$500,'F3a Änderungen Verrechnungen'!$B$16:$B$500,O$7)+SUMIFS('F3 Änderungen ER'!$F$15:$F$289,'F3 Änderungen ER'!$B$15:$B$289,O$7,'F3 Änderungen ER'!$C$15:$C$289,$B32)</f>
        <v>0</v>
      </c>
      <c r="S32" s="423">
        <f>SUMIFS('F3a Änderungen Verrechnungen'!$G$16:$G$500,'F3a Änderungen Verrechnungen'!$B$16:$B$500,O$7)+SUMIFS('F3 Änderungen ER'!$G$15:$G$289,'F3 Änderungen ER'!$B$15:$B$289,O$7,'F3 Änderungen ER'!$C$15:$C$289,$B32)</f>
        <v>0</v>
      </c>
      <c r="T32" s="423">
        <f>SUMIFS('F3a Änderungen Verrechnungen'!$H$16:$H$500,'F3a Änderungen Verrechnungen'!$B$16:$B$500,O$7)+SUMIFS('F3 Änderungen ER'!$H$15:$H$289,'F3 Änderungen ER'!$B$15:$B$289,O$7,'F3 Änderungen ER'!$C$15:$C$289,$B32)</f>
        <v>0</v>
      </c>
      <c r="U32" s="423">
        <f>SUMIFS('F3a Änderungen Verrechnungen'!$I$16:$I$500,'F3a Änderungen Verrechnungen'!$B$16:$B$500,O$7)+SUMIFS('F3 Änderungen ER'!$I$15:$I$289,'F3 Änderungen ER'!$B$15:$B$289,O$7,'F3 Änderungen ER'!$C$15:$C$289,$B32)</f>
        <v>0</v>
      </c>
      <c r="W32" s="420"/>
      <c r="X32" s="421"/>
      <c r="Y32" s="422">
        <f>SUMIFS('F3a Änderungen Verrechnungen'!$E$16:$E$500,'F3a Änderungen Verrechnungen'!$B$16:$B$500,W$7)+SUMIFS('F3 Änderungen ER'!$E$15:$E$289,'F3 Änderungen ER'!$B$15:$B$289,W$7,'F3 Änderungen ER'!$C$15:$C$289,$B32)</f>
        <v>0</v>
      </c>
      <c r="Z32" s="423">
        <f>SUMIFS('F3a Änderungen Verrechnungen'!$F$16:$F$500,'F3a Änderungen Verrechnungen'!$B$16:$B$500,W$7)+SUMIFS('F3 Änderungen ER'!$F$15:$F$289,'F3 Änderungen ER'!$B$15:$B$289,W$7,'F3 Änderungen ER'!$C$15:$C$289,$B32)</f>
        <v>0</v>
      </c>
      <c r="AA32" s="423">
        <f>SUMIFS('F3a Änderungen Verrechnungen'!$G$16:$G$500,'F3a Änderungen Verrechnungen'!$B$16:$B$500,W$7)+SUMIFS('F3 Änderungen ER'!$G$15:$G$289,'F3 Änderungen ER'!$B$15:$B$289,W$7,'F3 Änderungen ER'!$C$15:$C$289,$B32)</f>
        <v>0</v>
      </c>
      <c r="AB32" s="423">
        <f>SUMIFS('F3a Änderungen Verrechnungen'!$H$16:$H$500,'F3a Änderungen Verrechnungen'!$B$16:$B$500,W$7)+SUMIFS('F3 Änderungen ER'!$H$15:$H$289,'F3 Änderungen ER'!$B$15:$B$289,W$7,'F3 Änderungen ER'!$C$15:$C$289,$B32)</f>
        <v>0</v>
      </c>
      <c r="AC32" s="423">
        <f>SUMIFS('F3a Änderungen Verrechnungen'!$I$16:$I$500,'F3a Änderungen Verrechnungen'!$B$16:$B$500,W$7)+SUMIFS('F3 Änderungen ER'!$I$15:$I$289,'F3 Änderungen ER'!$B$15:$B$289,W$7,'F3 Änderungen ER'!$C$15:$C$289,$B32)</f>
        <v>0</v>
      </c>
      <c r="AE32" s="420"/>
      <c r="AF32" s="421"/>
      <c r="AG32" s="422">
        <f>SUMIFS('F3a Änderungen Verrechnungen'!$E$16:$E$500,'F3a Änderungen Verrechnungen'!$B$16:$B$500,AE$7)+SUMIFS('F3 Änderungen ER'!$E$15:$E$289,'F3 Änderungen ER'!$B$15:$B$289,AE$7,'F3 Änderungen ER'!$C$15:$C$289,$B32)</f>
        <v>0</v>
      </c>
      <c r="AH32" s="423">
        <f>SUMIFS('F3a Änderungen Verrechnungen'!$F$16:$F$500,'F3a Änderungen Verrechnungen'!$B$16:$B$500,AE$7)+SUMIFS('F3 Änderungen ER'!$F$15:$F$289,'F3 Änderungen ER'!$B$15:$B$289,AE$7,'F3 Änderungen ER'!$C$15:$C$289,$B32)</f>
        <v>0</v>
      </c>
      <c r="AI32" s="423">
        <f>SUMIFS('F3a Änderungen Verrechnungen'!$G$16:$G$500,'F3a Änderungen Verrechnungen'!$B$16:$B$500,AE$7)+SUMIFS('F3 Änderungen ER'!$G$15:$G$289,'F3 Änderungen ER'!$B$15:$B$289,AE$7,'F3 Änderungen ER'!$C$15:$C$289,$B32)</f>
        <v>0</v>
      </c>
      <c r="AJ32" s="423">
        <f>SUMIFS('F3a Änderungen Verrechnungen'!$H$16:$H$500,'F3a Änderungen Verrechnungen'!$B$16:$B$500,AE$7)+SUMIFS('F3 Änderungen ER'!$H$15:$H$289,'F3 Änderungen ER'!$B$15:$B$289,AE$7,'F3 Änderungen ER'!$C$15:$C$289,$B32)</f>
        <v>0</v>
      </c>
      <c r="AK32" s="423">
        <f>SUMIFS('F3a Änderungen Verrechnungen'!$I$16:$I$500,'F3a Änderungen Verrechnungen'!$B$16:$B$500,AE$7)+SUMIFS('F3 Änderungen ER'!$I$15:$I$289,'F3 Änderungen ER'!$B$15:$B$289,AE$7,'F3 Änderungen ER'!$C$15:$C$289,$B32)</f>
        <v>0</v>
      </c>
      <c r="AM32" s="420"/>
      <c r="AN32" s="421"/>
      <c r="AO32" s="422">
        <f>SUMIFS('F3a Änderungen Verrechnungen'!$E$16:$E$500,'F3a Änderungen Verrechnungen'!$B$16:$B$500,AM$7)+SUMIFS('F3 Änderungen ER'!$E$15:$E$289,'F3 Änderungen ER'!$B$15:$B$289,AM$7,'F3 Änderungen ER'!$C$15:$C$289,$B32)</f>
        <v>0</v>
      </c>
      <c r="AP32" s="423">
        <f>SUMIFS('F3a Änderungen Verrechnungen'!$F$16:$F$500,'F3a Änderungen Verrechnungen'!$B$16:$B$500,AM$7)+SUMIFS('F3 Änderungen ER'!$F$15:$F$289,'F3 Änderungen ER'!$B$15:$B$289,AM$7,'F3 Änderungen ER'!$C$15:$C$289,$B32)</f>
        <v>0</v>
      </c>
      <c r="AQ32" s="423">
        <f>SUMIFS('F3a Änderungen Verrechnungen'!$G$16:$G$500,'F3a Änderungen Verrechnungen'!$B$16:$B$500,AM$7)+SUMIFS('F3 Änderungen ER'!$G$15:$G$289,'F3 Änderungen ER'!$B$15:$B$289,AM$7,'F3 Änderungen ER'!$C$15:$C$289,$B32)</f>
        <v>0</v>
      </c>
      <c r="AR32" s="423">
        <f>SUMIFS('F3a Änderungen Verrechnungen'!$H$16:$H$500,'F3a Änderungen Verrechnungen'!$B$16:$B$500,AM$7)+SUMIFS('F3 Änderungen ER'!$H$15:$H$289,'F3 Änderungen ER'!$B$15:$B$289,AM$7,'F3 Änderungen ER'!$C$15:$C$289,$B32)</f>
        <v>0</v>
      </c>
      <c r="AS32" s="423">
        <f>SUMIFS('F3a Änderungen Verrechnungen'!$I$16:$I$500,'F3a Änderungen Verrechnungen'!$B$16:$B$500,AM$7)+SUMIFS('F3 Änderungen ER'!$I$15:$I$289,'F3 Änderungen ER'!$B$15:$B$289,AM$7,'F3 Änderungen ER'!$C$15:$C$289,$B32)</f>
        <v>0</v>
      </c>
      <c r="AU32" s="420"/>
      <c r="AV32" s="421"/>
      <c r="AW32" s="422">
        <f>SUMIFS('F3a Änderungen Verrechnungen'!$E$16:$E$500,'F3a Änderungen Verrechnungen'!$B$16:$B$500,AU$7)+SUMIFS('F3 Änderungen ER'!$E$15:$E$289,'F3 Änderungen ER'!$B$15:$B$289,AU$7,'F3 Änderungen ER'!$C$15:$C$289,$B32)</f>
        <v>0</v>
      </c>
      <c r="AX32" s="423">
        <f>SUMIFS('F3a Änderungen Verrechnungen'!$F$16:$F$500,'F3a Änderungen Verrechnungen'!$B$16:$B$500,AU$7)+SUMIFS('F3 Änderungen ER'!$F$15:$F$289,'F3 Änderungen ER'!$B$15:$B$289,AU$7,'F3 Änderungen ER'!$C$15:$C$289,$B32)</f>
        <v>0</v>
      </c>
      <c r="AY32" s="423">
        <f>SUMIFS('F3a Änderungen Verrechnungen'!$G$16:$G$500,'F3a Änderungen Verrechnungen'!$B$16:$B$500,AU$7)+SUMIFS('F3 Änderungen ER'!$G$15:$G$289,'F3 Änderungen ER'!$B$15:$B$289,AU$7,'F3 Änderungen ER'!$C$15:$C$289,$B32)</f>
        <v>0</v>
      </c>
      <c r="AZ32" s="423">
        <f>SUMIFS('F3a Änderungen Verrechnungen'!$H$16:$H$500,'F3a Änderungen Verrechnungen'!$B$16:$B$500,AU$7)+SUMIFS('F3 Änderungen ER'!$H$15:$H$289,'F3 Änderungen ER'!$B$15:$B$289,AU$7,'F3 Änderungen ER'!$C$15:$C$289,$B32)</f>
        <v>0</v>
      </c>
      <c r="BA32" s="423">
        <f>SUMIFS('F3a Änderungen Verrechnungen'!$I$16:$I$500,'F3a Änderungen Verrechnungen'!$B$16:$B$500,AU$7)+SUMIFS('F3 Änderungen ER'!$I$15:$I$289,'F3 Änderungen ER'!$B$15:$B$289,AU$7,'F3 Änderungen ER'!$C$15:$C$289,$B32)</f>
        <v>0</v>
      </c>
      <c r="BC32" s="420"/>
      <c r="BD32" s="421"/>
      <c r="BE32" s="422">
        <f>SUMIFS('F3a Änderungen Verrechnungen'!$E$16:$E$500,'F3a Änderungen Verrechnungen'!$B$16:$B$500,BC$7)+SUMIFS('F3 Änderungen ER'!$E$15:$E$289,'F3 Änderungen ER'!$B$15:$B$289,BC$7,'F3 Änderungen ER'!$C$15:$C$289,$B32)</f>
        <v>0</v>
      </c>
      <c r="BF32" s="423">
        <f>SUMIFS('F3a Änderungen Verrechnungen'!$F$16:$F$500,'F3a Änderungen Verrechnungen'!$B$16:$B$500,BC$7)+SUMIFS('F3 Änderungen ER'!$F$15:$F$289,'F3 Änderungen ER'!$B$15:$B$289,BC$7,'F3 Änderungen ER'!$C$15:$C$289,$B32)</f>
        <v>0</v>
      </c>
      <c r="BG32" s="423">
        <f>SUMIFS('F3a Änderungen Verrechnungen'!$G$16:$G$500,'F3a Änderungen Verrechnungen'!$B$16:$B$500,BC$7)+SUMIFS('F3 Änderungen ER'!$G$15:$G$289,'F3 Änderungen ER'!$B$15:$B$289,BC$7,'F3 Änderungen ER'!$C$15:$C$289,$B32)</f>
        <v>0</v>
      </c>
      <c r="BH32" s="423">
        <f>SUMIFS('F3a Änderungen Verrechnungen'!$H$16:$H$500,'F3a Änderungen Verrechnungen'!$B$16:$B$500,BC$7)+SUMIFS('F3 Änderungen ER'!$H$15:$H$289,'F3 Änderungen ER'!$B$15:$B$289,BC$7,'F3 Änderungen ER'!$C$15:$C$289,$B32)</f>
        <v>0</v>
      </c>
      <c r="BI32" s="423">
        <f>SUMIFS('F3a Änderungen Verrechnungen'!$I$16:$I$500,'F3a Änderungen Verrechnungen'!$B$16:$B$500,BC$7)+SUMIFS('F3 Änderungen ER'!$I$15:$I$289,'F3 Änderungen ER'!$B$15:$B$289,BC$7,'F3 Änderungen ER'!$C$15:$C$289,$B32)</f>
        <v>0</v>
      </c>
    </row>
    <row r="33" spans="2:62" s="665" customFormat="1" ht="11.1" customHeight="1">
      <c r="B33" s="1302"/>
      <c r="C33" s="1303">
        <v>394</v>
      </c>
      <c r="D33" s="1304"/>
      <c r="E33" s="1465" t="s">
        <v>132</v>
      </c>
      <c r="F33" s="1466"/>
      <c r="G33" s="652"/>
      <c r="H33" s="653"/>
      <c r="I33" s="1305">
        <f t="shared" si="12"/>
        <v>27.572499999999994</v>
      </c>
      <c r="J33" s="654">
        <f t="shared" si="13"/>
        <v>71.187499999999986</v>
      </c>
      <c r="K33" s="654">
        <f t="shared" si="14"/>
        <v>111.89673106060604</v>
      </c>
      <c r="L33" s="654">
        <f t="shared" si="15"/>
        <v>129.97187121212121</v>
      </c>
      <c r="M33" s="654">
        <f t="shared" si="16"/>
        <v>127.05208712121211</v>
      </c>
      <c r="N33" s="1166" t="str">
        <f t="shared" si="11"/>
        <v/>
      </c>
      <c r="O33" s="652"/>
      <c r="P33" s="653"/>
      <c r="Q33" s="1073">
        <f>(SUMIF('F4 Investitionsplanung VV'!$D19:$D25,"S",'F4 Investitionsplanung VV'!$I19:$I25)-SUMIF('F4 Investitionsplanung VV'!$D19:$D25,"S",'F4 Investitionsplanung VV'!$Q19:$Q25))*'F0b Planungsparameter'!$I$29+(SUMIF('F4 Investitionsplanung VV'!$D19:$D25,"",'F4 Investitionsplanung VV'!$I19:$I25)-SUMIF('F4 Investitionsplanung VV'!$D19:$D25,"",'F4 Investitionsplanung VV'!$Q19:$Q25))*'F0b Planungsparameter'!$I$28+SUM('F5 Prognose ER'!P23:P26)*'F0b Planungsparameter'!$I$29-SUM('F5 Prognose ER'!P51:P54)*'F0b Planungsparameter'!$I$29</f>
        <v>2.4</v>
      </c>
      <c r="R33" s="1074">
        <f>Q33+(SUMIF('F4 Investitionsplanung VV'!$D19:$D25,"S",'F4 Investitionsplanung VV'!$J19:$J25)-SUMIF('F4 Investitionsplanung VV'!$D19:$D25,"S",'F4 Investitionsplanung VV'!$R19:$R25))*'F0b Planungsparameter'!$J$29+(SUMIF('F4 Investitionsplanung VV'!$D19:$D25,"",'F4 Investitionsplanung VV'!$J19:$J25)-SUMIF('F4 Investitionsplanung VV'!$D19:$D25,"",'F4 Investitionsplanung VV'!$R19:$R25))*'F0b Planungsparameter'!$J$28+SUM('F5 Prognose ER'!Q23:Q26)*'F0b Planungsparameter'!$J$29-SUM('F5 Prognose ER'!Q51:Q54)*'F0b Planungsparameter'!$J$29</f>
        <v>3.5999999999999996</v>
      </c>
      <c r="S33" s="1074">
        <f>R33+(SUMIF('F4 Investitionsplanung VV'!$D19:$D25,"S",'F4 Investitionsplanung VV'!$K19:$K25)-SUMIF('F4 Investitionsplanung VV'!$D19:$D25,"S",'F4 Investitionsplanung VV'!$S19:$S25))*'F0b Planungsparameter'!$K$29+(SUMIF('F4 Investitionsplanung VV'!$D19:$D25,"",'F4 Investitionsplanung VV'!$K19:$K25)-SUMIF('F4 Investitionsplanung VV'!$D19:$D25,"",'F4 Investitionsplanung VV'!$S19:$S25))*'F0b Planungsparameter'!$K$28+SUM('F5 Prognose ER'!R23:R26)*'F0b Planungsparameter'!$K$29-SUM('F5 Prognose ER'!R51:R54)*'F0b Planungsparameter'!$K$29</f>
        <v>4.08</v>
      </c>
      <c r="T33" s="1074">
        <f>S33+(SUMIF('F4 Investitionsplanung VV'!$D19:$D25,"S",'F4 Investitionsplanung VV'!$L19:$L25)-SUMIF('F4 Investitionsplanung VV'!$D19:$D25,"S",'F4 Investitionsplanung VV'!$T19:$T25))*'F0b Planungsparameter'!$L$29+(SUMIF('F4 Investitionsplanung VV'!$D19:$D25,"",'F4 Investitionsplanung VV'!$L19:$L25)-SUMIF('F4 Investitionsplanung VV'!$D19:$D25,"",'F4 Investitionsplanung VV'!$T19:$T25))*'F0b Planungsparameter'!$L$28+SUM('F5 Prognose ER'!S23:S26)*'F0b Planungsparameter'!$L$29-SUM('F5 Prognose ER'!S51:S54)*'F0b Planungsparameter'!$L$29</f>
        <v>6.1349999999999998</v>
      </c>
      <c r="U33" s="654">
        <f>T33+(SUMIF('F4 Investitionsplanung VV'!$D19:$D25,"S",'F4 Investitionsplanung VV'!$M19:$M25)-SUMIF('F4 Investitionsplanung VV'!$D19:$D25,"S",'F4 Investitionsplanung VV'!$U19:$U25))*'F0b Planungsparameter'!$M$29+(SUMIF('F4 Investitionsplanung VV'!$D19:$D25,"",'F4 Investitionsplanung VV'!$M19:$M25)-SUMIF('F4 Investitionsplanung VV'!$D19:$D25,"",'F4 Investitionsplanung VV'!$U19:$U25))*'F0b Planungsparameter'!$M$28+SUM('F5 Prognose ER'!T23:T26)*'F0b Planungsparameter'!$M$29-SUM('F5 Prognose ER'!T51:T54)*'F0b Planungsparameter'!$M$29</f>
        <v>6.55</v>
      </c>
      <c r="W33" s="652"/>
      <c r="X33" s="653"/>
      <c r="Y33" s="1073">
        <f>(SUMIF('F4 Investitionsplanung VV'!$D28:$D36,"S",'F4 Investitionsplanung VV'!$I28:$I36)-SUMIF('F4 Investitionsplanung VV'!$D28:$D36,"S",'F4 Investitionsplanung VV'!$Q28:$Q36))*'F0b Planungsparameter'!$I$29+(SUMIF('F4 Investitionsplanung VV'!$D28:$D36,"",'F4 Investitionsplanung VV'!$I28:$I36)-SUMIF('F4 Investitionsplanung VV'!$D28:$D36,"",'F4 Investitionsplanung VV'!$Q28:$Q36))*'F0b Planungsparameter'!$I$28+SUM('F5 Prognose ER'!X23:X26)*'F0b Planungsparameter'!$I$29-SUM('F5 Prognose ER'!X51:X54)*'F0b Planungsparameter'!$I$29</f>
        <v>-1.68</v>
      </c>
      <c r="Z33" s="1074">
        <f>Y33+(SUMIF('F4 Investitionsplanung VV'!$D28:$D36,"S",'F4 Investitionsplanung VV'!$J28:$J36)-SUMIF('F4 Investitionsplanung VV'!$D28:$D36,"S",'F4 Investitionsplanung VV'!$R28:$R36))*'F0b Planungsparameter'!$J$29+(SUMIF('F4 Investitionsplanung VV'!$D28:$D36,"",'F4 Investitionsplanung VV'!$J28:$J36)-SUMIF('F4 Investitionsplanung VV'!$D28:$D36,"",'F4 Investitionsplanung VV'!$R28:$R36))*'F0b Planungsparameter'!$J$28+SUM('F5 Prognose ER'!Y23:Y26)*'F0b Planungsparameter'!$J$29-SUM('F5 Prognose ER'!Y51:Y54)*'F0b Planungsparameter'!$J$29</f>
        <v>3.3400000000000007</v>
      </c>
      <c r="AA33" s="1074">
        <f>Z33+(SUMIF('F4 Investitionsplanung VV'!$D28:$D36,"S",'F4 Investitionsplanung VV'!$K28:$K36)-SUMIF('F4 Investitionsplanung VV'!$D28:$D36,"S",'F4 Investitionsplanung VV'!$S28:$S36))*'F0b Planungsparameter'!$K$29+(SUMIF('F4 Investitionsplanung VV'!$D28:$D36,"",'F4 Investitionsplanung VV'!$K28:$K36)-SUMIF('F4 Investitionsplanung VV'!$D28:$D36,"",'F4 Investitionsplanung VV'!$S28:$S36))*'F0b Planungsparameter'!$K$28+SUM('F5 Prognose ER'!Z23:Z26)*'F0b Planungsparameter'!$L$29-SUM('F5 Prognose ER'!Z51:Z54)*'F0b Planungsparameter'!$L$29</f>
        <v>6.1975000000000007</v>
      </c>
      <c r="AB33" s="1074">
        <f>AA33+(SUMIF('F4 Investitionsplanung VV'!$D28:$D36,"S",'F4 Investitionsplanung VV'!$L28:$L36)-SUMIF('F4 Investitionsplanung VV'!$D28:$D36,"S",'F4 Investitionsplanung VV'!$T28:$T36))*'F0b Planungsparameter'!$L$29+(SUMIF('F4 Investitionsplanung VV'!$D28:$D36,"",'F4 Investitionsplanung VV'!$L28:$L36)-SUMIF('F4 Investitionsplanung VV'!$D28:$D36,"",'F4 Investitionsplanung VV'!$T28:$T36))*'F0b Planungsparameter'!$L$28+SUM('F5 Prognose ER'!AA23:AA26)*'F0b Planungsparameter'!$M$29-SUM('F5 Prognose ER'!AA51:AA54)*'F0b Planungsparameter'!$M$29</f>
        <v>8.9775000000000009</v>
      </c>
      <c r="AC33" s="654">
        <f>AB33+(SUMIF('F4 Investitionsplanung VV'!$D28:$D36,"S",'F4 Investitionsplanung VV'!$M28:$M36)-SUMIF('F4 Investitionsplanung VV'!$D28:$D36,"S",'F4 Investitionsplanung VV'!$U28:$U36))*'F0b Planungsparameter'!$M$29+(SUMIF('F4 Investitionsplanung VV'!$D28:$D36,"",'F4 Investitionsplanung VV'!$M28:$M36)-SUMIF('F4 Investitionsplanung VV'!$D28:$D36,"",'F4 Investitionsplanung VV'!$U28:$U36))*'F0b Planungsparameter'!$M$28+SUM('F5 Prognose ER'!AB23:AB26)*'F0b Planungsparameter'!$M$29-SUM('F5 Prognose ER'!AB51:AB54)*'F0b Planungsparameter'!$M$29</f>
        <v>1.3425000000000011</v>
      </c>
      <c r="AE33" s="652"/>
      <c r="AF33" s="653"/>
      <c r="AG33" s="1073">
        <f>(SUMIF('F4 Investitionsplanung VV'!$D39:$D43,"S",'F4 Investitionsplanung VV'!$I39:$I43)-SUMIF('F4 Investitionsplanung VV'!$D39:$D43,"S",'F4 Investitionsplanung VV'!$Q39:$Q43))*'F0b Planungsparameter'!$I$29+(SUMIF('F4 Investitionsplanung VV'!$D39:$D43,"",'F4 Investitionsplanung VV'!$I39:$I43)-SUMIF('F4 Investitionsplanung VV'!$D39:$D43,"",'F4 Investitionsplanung VV'!$Q39:$Q43))*'F0b Planungsparameter'!$I$28+SUM('F5 Prognose ER'!AF23:AF26)*'F0b Planungsparameter'!$I$29-SUM('F5 Prognose ER'!AF51:AF54)*'F0b Planungsparameter'!$I$29</f>
        <v>-0.6</v>
      </c>
      <c r="AH33" s="1074">
        <f>AG33+(SUMIF('F4 Investitionsplanung VV'!$D39:$D43,"S",'F4 Investitionsplanung VV'!$J39:$J43)-SUMIF('F4 Investitionsplanung VV'!$D39:$D43,"S",'F4 Investitionsplanung VV'!$R39:$R43))*'F0b Planungsparameter'!$J$29+(SUMIF('F4 Investitionsplanung VV'!$D39:$D43,"",'F4 Investitionsplanung VV'!$J39:$J43)-SUMIF('F4 Investitionsplanung VV'!$D39:$D43,"",'F4 Investitionsplanung VV'!$R39:$R43))*'F0b Planungsparameter'!$J$28+SUM('F5 Prognose ER'!AG23:AG26)*'F0b Planungsparameter'!$J$29-SUM('F5 Prognose ER'!AG51:AG54)*'F0b Planungsparameter'!$J$29</f>
        <v>3.4</v>
      </c>
      <c r="AI33" s="1074">
        <f>AH33+(SUMIF('F4 Investitionsplanung VV'!$D39:$D43,"S",'F4 Investitionsplanung VV'!$K39:$K43)-SUMIF('F4 Investitionsplanung VV'!$D39:$D43,"S",'F4 Investitionsplanung VV'!$S39:$S43))*'F0b Planungsparameter'!$K$29+(SUMIF('F4 Investitionsplanung VV'!$D39:$D43,"",'F4 Investitionsplanung VV'!$K39:$K43)-SUMIF('F4 Investitionsplanung VV'!$D39:$D43,"",'F4 Investitionsplanung VV'!$S39:$S43))*'F0b Planungsparameter'!$K$28+SUM('F5 Prognose ER'!AH23:AH26)*'F0b Planungsparameter'!$K$29-SUM('F5 Prognose ER'!AH51:AH54)*'F0b Planungsparameter'!$K$29</f>
        <v>7.2650000000000006</v>
      </c>
      <c r="AJ33" s="1074">
        <f>AI33+(SUMIF('F4 Investitionsplanung VV'!$D39:$D43,"S",'F4 Investitionsplanung VV'!$L39:$L43)-SUMIF('F4 Investitionsplanung VV'!$D39:$D43,"S",'F4 Investitionsplanung VV'!$T39:$T43))*'F0b Planungsparameter'!$L$29+(SUMIF('F4 Investitionsplanung VV'!$D39:$D43,"",'F4 Investitionsplanung VV'!$L39:$L43)-SUMIF('F4 Investitionsplanung VV'!$D39:$D43,"",'F4 Investitionsplanung VV'!$T39:$T43))*'F0b Planungsparameter'!$L$28+SUM('F5 Prognose ER'!AI23:AI26)*'F0b Planungsparameter'!$L$29-SUM('F5 Prognose ER'!AI51:AI54)*'F0b Planungsparameter'!$L$29</f>
        <v>6.0050000000000008</v>
      </c>
      <c r="AK33" s="654">
        <f>AJ33+(SUMIF('F4 Investitionsplanung VV'!$D39:$D43,"S",'F4 Investitionsplanung VV'!$M39:$M43)-SUMIF('F4 Investitionsplanung VV'!$D39:$D43,"S",'F4 Investitionsplanung VV'!$U39:$U43))*'F0b Planungsparameter'!$M$29+(SUMIF('F4 Investitionsplanung VV'!$D39:$D43,"",'F4 Investitionsplanung VV'!$M39:$M43)-SUMIF('F4 Investitionsplanung VV'!$D39:$D43,"",'F4 Investitionsplanung VV'!$U39:$U43))*'F0b Planungsparameter'!$M$28+SUM('F5 Prognose ER'!AJ23:AJ26)*'F0b Planungsparameter'!$M$29-SUM('F5 Prognose ER'!AJ51:AJ54)*'F0b Planungsparameter'!$M$29</f>
        <v>4.745000000000001</v>
      </c>
      <c r="AM33" s="652"/>
      <c r="AN33" s="653"/>
      <c r="AO33" s="1073">
        <f>(SUMIF('F4 Investitionsplanung VV'!$D46:$D51,"S",'F4 Investitionsplanung VV'!$I46:$I51)-SUMIF('F4 Investitionsplanung VV'!$D46:$D51,"S",'F4 Investitionsplanung VV'!$Q46:$Q51))*'F0b Planungsparameter'!$I$29+(SUMIF('F4 Investitionsplanung VV'!$D46:$D51,"",'F4 Investitionsplanung VV'!$I46:$I51)-SUMIF('F4 Investitionsplanung VV'!$D46:$D51,"",'F4 Investitionsplanung VV'!$Q46:$Q51))*'F0b Planungsparameter'!$I$28+SUM('F5 Prognose ER'!AN23:AN26)*'F0b Planungsparameter'!$I$29-SUM('F5 Prognose ER'!AN51:AN54)*'F0b Planungsparameter'!$I$29</f>
        <v>-4.7424999999999997</v>
      </c>
      <c r="AP33" s="1074">
        <f>AO33+(SUMIF('F4 Investitionsplanung VV'!$D46:$D51,"S",'F4 Investitionsplanung VV'!$J46:$J51)-SUMIF('F4 Investitionsplanung VV'!$D46:$D51,"S",'F4 Investitionsplanung VV'!$R46:$R51))*'F0b Planungsparameter'!$J$29+(SUMIF('F4 Investitionsplanung VV'!$D46:$D51,"",'F4 Investitionsplanung VV'!$J46:$J51)-SUMIF('F4 Investitionsplanung VV'!$D46:$D51,"",'F4 Investitionsplanung VV'!$R46:$R51))*'F0b Planungsparameter'!$J$28+SUM('F5 Prognose ER'!AO23:AO26)*'F0b Planungsparameter'!$J$29-SUM('F5 Prognose ER'!AO51:AO54)*'F0b Planungsparameter'!$J$29</f>
        <v>-8.3375000000000004</v>
      </c>
      <c r="AQ33" s="1074">
        <f>AP33+(SUMIF('F4 Investitionsplanung VV'!$D46:$D51,"S",'F4 Investitionsplanung VV'!$K46:$K51)-SUMIF('F4 Investitionsplanung VV'!$D46:$D51,"S",'F4 Investitionsplanung VV'!$S46:$S51))*'F0b Planungsparameter'!$K$29+(SUMIF('F4 Investitionsplanung VV'!$D46:$D51,"",'F4 Investitionsplanung VV'!$K46:$K51)-SUMIF('F4 Investitionsplanung VV'!$D46:$D51,"",'F4 Investitionsplanung VV'!$S46:$S51))*'F0b Planungsparameter'!$K$28+SUM('F5 Prognose ER'!AP23:AP26)*'F0b Planungsparameter'!$K$29-SUM('F5 Prognose ER'!AP51:AP54)*'F0b Planungsparameter'!$K$29</f>
        <v>-10.339602272727273</v>
      </c>
      <c r="AR33" s="1074">
        <f>AQ33+(SUMIF('F4 Investitionsplanung VV'!$D46:$D51,"S",'F4 Investitionsplanung VV'!$L46:$L51)-SUMIF('F4 Investitionsplanung VV'!$D46:$D51,"S",'F4 Investitionsplanung VV'!$T46:$T51))*'F0b Planungsparameter'!$L$29+(SUMIF('F4 Investitionsplanung VV'!$D46:$D51,"",'F4 Investitionsplanung VV'!$L46:$L51)-SUMIF('F4 Investitionsplanung VV'!$D46:$D51,"",'F4 Investitionsplanung VV'!$T46:$T51))*'F0b Planungsparameter'!$L$28+SUM('F5 Prognose ER'!AQ23:AQ26)*'F0b Planungsparameter'!$L$29-SUM('F5 Prognose ER'!AQ51:AQ54)*'F0b Planungsparameter'!$L$29</f>
        <v>-6.5207954545454552</v>
      </c>
      <c r="AS33" s="654">
        <f>AR33+(SUMIF('F4 Investitionsplanung VV'!$D46:$D51,"S",'F4 Investitionsplanung VV'!$M46:$M51)-SUMIF('F4 Investitionsplanung VV'!$D46:$D51,"S",'F4 Investitionsplanung VV'!$U46:$U51))*'F0b Planungsparameter'!$M$29+(SUMIF('F4 Investitionsplanung VV'!$D46:$D51,"",'F4 Investitionsplanung VV'!$M46:$M51)-SUMIF('F4 Investitionsplanung VV'!$D46:$D51,"",'F4 Investitionsplanung VV'!$U46:$U51))*'F0b Planungsparameter'!$M$28+SUM('F5 Prognose ER'!AR23:AR26)*'F0b Planungsparameter'!$M$29-SUM('F5 Prognose ER'!AR51:AR54)*'F0b Planungsparameter'!$M$29</f>
        <v>-3.8110795454545463</v>
      </c>
      <c r="AU33" s="652"/>
      <c r="AV33" s="653"/>
      <c r="AW33" s="1073">
        <f>(SUMIF('F4 Investitionsplanung VV'!$D54:$D79,"S",'F4 Investitionsplanung VV'!$I54:$I79)-SUMIF('F4 Investitionsplanung VV'!$D54:$D79,"S",'F4 Investitionsplanung VV'!$Q54:$Q79))*'F0b Planungsparameter'!$I$29+(SUMIF('F4 Investitionsplanung VV'!$D54:$D79,"",'F4 Investitionsplanung VV'!$I54:$I79)-SUMIF('F4 Investitionsplanung VV'!$D54:$D79,"",'F4 Investitionsplanung VV'!$Q54:$Q79))*'F0b Planungsparameter'!$I$28+SUM('F5 Prognose ER'!AV23:AV26)*'F0b Planungsparameter'!$I$29-SUM('F5 Prognose ER'!AV51:AV54)*'F0b Planungsparameter'!$I$29</f>
        <v>32.194999999999993</v>
      </c>
      <c r="AX33" s="1074">
        <f>AW33+(SUMIF('F4 Investitionsplanung VV'!$D54:$D79,"S",'F4 Investitionsplanung VV'!$J54:$J79)-SUMIF('F4 Investitionsplanung VV'!$D54:$D79,"S",'F4 Investitionsplanung VV'!$R54:$R79))*'F0b Planungsparameter'!$J$29+(SUMIF('F4 Investitionsplanung VV'!$D54:$D79,"",'F4 Investitionsplanung VV'!$J54:$J79)-SUMIF('F4 Investitionsplanung VV'!$D54:$D79,"",'F4 Investitionsplanung VV'!$R54:$R79))*'F0b Planungsparameter'!$J$28+SUM('F5 Prognose ER'!AW23:AW26)*'F0b Planungsparameter'!$J$29-SUM('F5 Prognose ER'!AW51:AW54)*'F0b Planungsparameter'!$J$29</f>
        <v>69.184999999999988</v>
      </c>
      <c r="AY33" s="1074">
        <f>AX33+(SUMIF('F4 Investitionsplanung VV'!$D54:$D79,"S",'F4 Investitionsplanung VV'!$K54:$K79)-SUMIF('F4 Investitionsplanung VV'!$D54:$D79,"S",'F4 Investitionsplanung VV'!$S54:$S79))*'F0b Planungsparameter'!$K$29+(SUMIF('F4 Investitionsplanung VV'!$D54:$D79,"",'F4 Investitionsplanung VV'!$K54:$K79)-SUMIF('F4 Investitionsplanung VV'!$D54:$D79,"",'F4 Investitionsplanung VV'!$S54:$S79))*'F0b Planungsparameter'!$K$28+SUM('F5 Prognose ER'!AX23:AX26)*'F0b Planungsparameter'!$K$29-SUM('F5 Prognose ER'!AX51:AX54)*'F0b Planungsparameter'!$K$29</f>
        <v>104.69383333333332</v>
      </c>
      <c r="AZ33" s="1074">
        <f>AY33+(SUMIF('F4 Investitionsplanung VV'!$D54:$D79,"S",'F4 Investitionsplanung VV'!$L54:$L79)-SUMIF('F4 Investitionsplanung VV'!$D54:$D79,"S",'F4 Investitionsplanung VV'!$T54:$T79))*'F0b Planungsparameter'!$L$29+(SUMIF('F4 Investitionsplanung VV'!$D54:$D79,"",'F4 Investitionsplanung VV'!$L54:$L79)-SUMIF('F4 Investitionsplanung VV'!$D54:$D79,"",'F4 Investitionsplanung VV'!$T54:$T79))*'F0b Planungsparameter'!$L$28+SUM('F5 Prognose ER'!AY23:AY26)*'F0b Planungsparameter'!$L$29-SUM('F5 Prognose ER'!AY51:AY54)*'F0b Planungsparameter'!$L$29</f>
        <v>115.37516666666666</v>
      </c>
      <c r="BA33" s="654">
        <f>AZ33+(SUMIF('F4 Investitionsplanung VV'!$D54:$D79,"S",'F4 Investitionsplanung VV'!$M54:$M79)-SUMIF('F4 Investitionsplanung VV'!$D54:$D79,"S",'F4 Investitionsplanung VV'!$U54:$U79))*'F0b Planungsparameter'!$M$29+(SUMIF('F4 Investitionsplanung VV'!$D54:$D79,"",'F4 Investitionsplanung VV'!$M54:$M79)-SUMIF('F4 Investitionsplanung VV'!$D54:$D79,"",'F4 Investitionsplanung VV'!$U54:$U79))*'F0b Planungsparameter'!$M$28+SUM('F5 Prognose ER'!AZ23:AZ26)*'F0b Planungsparameter'!$M$29-SUM('F5 Prognose ER'!AZ51:AZ54)*'F0b Planungsparameter'!$M$29</f>
        <v>118.22566666666665</v>
      </c>
      <c r="BC33" s="652"/>
      <c r="BD33" s="653"/>
      <c r="BE33" s="1073">
        <f>(SUMIF('F4 Investitionsplanung VV'!$D82:$D85,"S",'F4 Investitionsplanung VV'!$I82:$I85)-SUMIF('F4 Investitionsplanung VV'!$D82:$D85,"S",'F4 Investitionsplanung VV'!$Q82:$Q85))*'F0b Planungsparameter'!$I$29+(SUMIF('F4 Investitionsplanung VV'!$D82:$D85,"",'F4 Investitionsplanung VV'!$I82:$I85)-SUMIF('F4 Investitionsplanung VV'!$D82:$D85,"",'F4 Investitionsplanung VV'!$Q82:$Q85))*'F0b Planungsparameter'!$I$28+SUM('F5 Prognose ER'!BD23:BD26)*'F0b Planungsparameter'!$I$29-SUM('F5 Prognose ER'!BD51:BD54)*'F0b Planungsparameter'!$I$29</f>
        <v>0</v>
      </c>
      <c r="BF33" s="1074">
        <f>BE33+(SUMIF('F4 Investitionsplanung VV'!$D82:$D85,"S",'F4 Investitionsplanung VV'!$J82:$J85)-SUMIF('F4 Investitionsplanung VV'!$D82:$D85,"S",'F4 Investitionsplanung VV'!$R82:$R85))*'F0b Planungsparameter'!$J$29+(SUMIF('F4 Investitionsplanung VV'!$D82:$D85,"",'F4 Investitionsplanung VV'!$J82:$J85)-SUMIF('F4 Investitionsplanung VV'!$D82:$D85,"",'F4 Investitionsplanung VV'!$R82:$R85))*'F0b Planungsparameter'!$J$28+SUM('F5 Prognose ER'!BE23:BE26)*'F0b Planungsparameter'!$J$29-SUM('F5 Prognose ER'!BE51:BE54)*'F0b Planungsparameter'!$J$29</f>
        <v>0</v>
      </c>
      <c r="BG33" s="1074">
        <f>BF33+(SUMIF('F4 Investitionsplanung VV'!$D82:$D85,"S",'F4 Investitionsplanung VV'!$K82:$K85)-SUMIF('F4 Investitionsplanung VV'!$D82:$D85,"S",'F4 Investitionsplanung VV'!$S82:$S85))*'F0b Planungsparameter'!$K$29+(SUMIF('F4 Investitionsplanung VV'!$D82:$D85,"",'F4 Investitionsplanung VV'!$K82:$K85)-SUMIF('F4 Investitionsplanung VV'!$D82:$D85,"",'F4 Investitionsplanung VV'!$S82:$S85))*'F0b Planungsparameter'!$K$28+SUM('F5 Prognose ER'!BF23:BF26)*'F0b Planungsparameter'!$K$29-SUM('F5 Prognose ER'!BF51:BF54)*'F0b Planungsparameter'!$K$29</f>
        <v>0</v>
      </c>
      <c r="BH33" s="1074">
        <f>BG33+(SUMIF('F4 Investitionsplanung VV'!$D82:$D85,"S",'F4 Investitionsplanung VV'!$L82:$L85)-SUMIF('F4 Investitionsplanung VV'!$D82:$D85,"S",'F4 Investitionsplanung VV'!$T82:$T85))*'F0b Planungsparameter'!$L$29+(SUMIF('F4 Investitionsplanung VV'!$D82:$D85,"",'F4 Investitionsplanung VV'!$L82:$L85)-SUMIF('F4 Investitionsplanung VV'!$D82:$D85,"",'F4 Investitionsplanung VV'!$T82:$T85))*'F0b Planungsparameter'!$L$28+SUM('F5 Prognose ER'!BG23:BG26)*'F0b Planungsparameter'!$L$29-SUM('F5 Prognose ER'!BG51:BG54)*'F0b Planungsparameter'!$L$29</f>
        <v>0</v>
      </c>
      <c r="BI33" s="654">
        <f>BH33+(SUMIF('F4 Investitionsplanung VV'!$D82:$D85,"S",'F4 Investitionsplanung VV'!$M82:$M85)-SUMIF('F4 Investitionsplanung VV'!$D82:$D85,"S",'F4 Investitionsplanung VV'!$U82:$U85))*'F0b Planungsparameter'!$M$29+(SUMIF('F4 Investitionsplanung VV'!$D82:$D85,"",'F4 Investitionsplanung VV'!$M82:$M85)-SUMIF('F4 Investitionsplanung VV'!$D82:$D85,"",'F4 Investitionsplanung VV'!$U82:$U85))*'F0b Planungsparameter'!$M$28+SUM('F5 Prognose ER'!BH23:BH26)*'F0b Planungsparameter'!$M$29-SUM('F5 Prognose ER'!BH51:BH54)*'F0b Planungsparameter'!$M$29</f>
        <v>0</v>
      </c>
    </row>
    <row r="34" spans="2:62" ht="6" customHeight="1">
      <c r="B34" s="425"/>
      <c r="C34" s="639"/>
      <c r="D34" s="639"/>
      <c r="E34" s="426"/>
      <c r="F34" s="426"/>
      <c r="G34" s="422"/>
      <c r="H34" s="422"/>
      <c r="I34" s="422"/>
      <c r="J34" s="422"/>
      <c r="K34" s="422"/>
      <c r="L34" s="422"/>
      <c r="M34" s="422"/>
      <c r="N34" s="379"/>
      <c r="O34" s="379"/>
      <c r="P34" s="379"/>
      <c r="Q34" s="379"/>
      <c r="R34" s="379"/>
      <c r="S34" s="379"/>
      <c r="T34" s="379"/>
      <c r="U34" s="379"/>
      <c r="W34" s="379"/>
      <c r="X34" s="379"/>
      <c r="Y34" s="379"/>
      <c r="Z34" s="379"/>
      <c r="AA34" s="379"/>
      <c r="AB34" s="379"/>
      <c r="AC34" s="379"/>
      <c r="AE34" s="379"/>
      <c r="AF34" s="379"/>
      <c r="AG34" s="379"/>
      <c r="AH34" s="379"/>
      <c r="AI34" s="379"/>
      <c r="AJ34" s="379"/>
      <c r="AK34" s="379"/>
      <c r="AM34" s="379"/>
      <c r="AN34" s="379"/>
      <c r="AO34" s="379"/>
      <c r="AP34" s="379"/>
      <c r="AQ34" s="379"/>
      <c r="AR34" s="379"/>
      <c r="AS34" s="379"/>
      <c r="AU34" s="379"/>
      <c r="AV34" s="379"/>
      <c r="AW34" s="379"/>
      <c r="AX34" s="379"/>
      <c r="AY34" s="379"/>
      <c r="AZ34" s="379"/>
      <c r="BA34" s="379"/>
      <c r="BC34" s="379"/>
      <c r="BD34" s="379"/>
      <c r="BE34" s="379"/>
      <c r="BF34" s="379"/>
      <c r="BG34" s="379"/>
      <c r="BH34" s="379"/>
      <c r="BI34" s="379"/>
    </row>
    <row r="35" spans="2:62" ht="6" customHeight="1">
      <c r="B35" s="374"/>
      <c r="C35" s="637"/>
      <c r="D35" s="637"/>
      <c r="E35" s="427"/>
      <c r="F35" s="427"/>
      <c r="G35" s="395"/>
      <c r="H35" s="395"/>
      <c r="I35" s="395"/>
      <c r="J35" s="395"/>
      <c r="K35" s="395"/>
      <c r="L35" s="395"/>
      <c r="M35" s="395"/>
      <c r="N35" s="379"/>
      <c r="O35" s="391"/>
      <c r="P35" s="391"/>
      <c r="Q35" s="391"/>
      <c r="R35" s="391"/>
      <c r="S35" s="391"/>
      <c r="T35" s="391"/>
      <c r="U35" s="391"/>
      <c r="W35" s="391"/>
      <c r="X35" s="391"/>
      <c r="Y35" s="391"/>
      <c r="Z35" s="391"/>
      <c r="AA35" s="391"/>
      <c r="AB35" s="391"/>
      <c r="AC35" s="391"/>
      <c r="AE35" s="391"/>
      <c r="AF35" s="391"/>
      <c r="AG35" s="391"/>
      <c r="AH35" s="391"/>
      <c r="AI35" s="391"/>
      <c r="AJ35" s="391"/>
      <c r="AK35" s="391"/>
      <c r="AM35" s="391"/>
      <c r="AN35" s="391"/>
      <c r="AO35" s="391"/>
      <c r="AP35" s="391"/>
      <c r="AQ35" s="391"/>
      <c r="AR35" s="391"/>
      <c r="AS35" s="391"/>
      <c r="AU35" s="391"/>
      <c r="AV35" s="391"/>
      <c r="AW35" s="391"/>
      <c r="AX35" s="391"/>
      <c r="AY35" s="391"/>
      <c r="AZ35" s="391"/>
      <c r="BA35" s="391"/>
      <c r="BC35" s="391"/>
      <c r="BD35" s="391"/>
      <c r="BE35" s="391"/>
      <c r="BF35" s="391"/>
      <c r="BG35" s="391"/>
      <c r="BH35" s="391"/>
      <c r="BI35" s="391"/>
    </row>
    <row r="36" spans="2:62" ht="11.1" customHeight="1">
      <c r="B36" s="374">
        <v>4</v>
      </c>
      <c r="C36" s="383"/>
      <c r="D36" s="1406" t="s">
        <v>34</v>
      </c>
      <c r="E36" s="1432"/>
      <c r="F36" s="1433"/>
      <c r="G36" s="386"/>
      <c r="H36" s="415"/>
      <c r="I36" s="386">
        <f>SUM(I39:I61)</f>
        <v>27.572499999999994</v>
      </c>
      <c r="J36" s="386">
        <f t="shared" ref="J36:M36" si="17">SUM(J39:J61)</f>
        <v>71.187499999999986</v>
      </c>
      <c r="K36" s="386">
        <f t="shared" si="17"/>
        <v>111.89673106060604</v>
      </c>
      <c r="L36" s="386">
        <f t="shared" si="17"/>
        <v>129.97187121212121</v>
      </c>
      <c r="M36" s="384">
        <f t="shared" si="17"/>
        <v>127.05208712121211</v>
      </c>
      <c r="N36" s="379"/>
      <c r="O36" s="386"/>
      <c r="P36" s="415"/>
      <c r="Q36" s="386">
        <f>SUM(Q39:Q61)</f>
        <v>0</v>
      </c>
      <c r="R36" s="386">
        <f>SUM(R39:R61)</f>
        <v>0</v>
      </c>
      <c r="S36" s="386">
        <f t="shared" ref="S36:U36" si="18">SUM(S39:S61)</f>
        <v>0</v>
      </c>
      <c r="T36" s="386">
        <f t="shared" si="18"/>
        <v>0</v>
      </c>
      <c r="U36" s="384">
        <f t="shared" si="18"/>
        <v>0</v>
      </c>
      <c r="V36" s="379"/>
      <c r="W36" s="386"/>
      <c r="X36" s="415"/>
      <c r="Y36" s="386">
        <f t="shared" ref="Y36:AC36" si="19">SUM(Y39:Y61)</f>
        <v>0</v>
      </c>
      <c r="Z36" s="386">
        <f t="shared" si="19"/>
        <v>0</v>
      </c>
      <c r="AA36" s="386">
        <f t="shared" si="19"/>
        <v>0</v>
      </c>
      <c r="AB36" s="386">
        <f t="shared" si="19"/>
        <v>0</v>
      </c>
      <c r="AC36" s="384">
        <f t="shared" si="19"/>
        <v>0</v>
      </c>
      <c r="AD36" s="379"/>
      <c r="AE36" s="386"/>
      <c r="AF36" s="415"/>
      <c r="AG36" s="386">
        <f t="shared" ref="AG36:AK36" si="20">SUM(AG39:AG61)</f>
        <v>0</v>
      </c>
      <c r="AH36" s="386">
        <f t="shared" si="20"/>
        <v>0</v>
      </c>
      <c r="AI36" s="386">
        <f t="shared" si="20"/>
        <v>0</v>
      </c>
      <c r="AJ36" s="386">
        <f t="shared" si="20"/>
        <v>0</v>
      </c>
      <c r="AK36" s="384">
        <f t="shared" si="20"/>
        <v>0</v>
      </c>
      <c r="AL36" s="379"/>
      <c r="AM36" s="386"/>
      <c r="AN36" s="415"/>
      <c r="AO36" s="386">
        <f t="shared" ref="AO36:AS36" si="21">SUM(AO39:AO61)</f>
        <v>0</v>
      </c>
      <c r="AP36" s="386">
        <f t="shared" si="21"/>
        <v>0</v>
      </c>
      <c r="AQ36" s="386">
        <f t="shared" si="21"/>
        <v>0</v>
      </c>
      <c r="AR36" s="386">
        <f t="shared" si="21"/>
        <v>0</v>
      </c>
      <c r="AS36" s="384">
        <f t="shared" si="21"/>
        <v>0</v>
      </c>
      <c r="AT36" s="379"/>
      <c r="AU36" s="386"/>
      <c r="AV36" s="415"/>
      <c r="AW36" s="386">
        <f t="shared" ref="AW36:BA36" si="22">SUM(AW39:AW61)</f>
        <v>0</v>
      </c>
      <c r="AX36" s="386">
        <f t="shared" si="22"/>
        <v>0</v>
      </c>
      <c r="AY36" s="386">
        <f t="shared" si="22"/>
        <v>0</v>
      </c>
      <c r="AZ36" s="386">
        <f t="shared" si="22"/>
        <v>0</v>
      </c>
      <c r="BA36" s="384">
        <f t="shared" si="22"/>
        <v>0</v>
      </c>
      <c r="BB36" s="379"/>
      <c r="BC36" s="386"/>
      <c r="BD36" s="415"/>
      <c r="BE36" s="386">
        <f t="shared" ref="BE36:BI36" si="23">SUM(BE39:BE61)</f>
        <v>27.572499999999994</v>
      </c>
      <c r="BF36" s="386">
        <f t="shared" si="23"/>
        <v>71.187499999999986</v>
      </c>
      <c r="BG36" s="386">
        <f t="shared" si="23"/>
        <v>111.89673106060604</v>
      </c>
      <c r="BH36" s="386">
        <f t="shared" si="23"/>
        <v>129.97187121212121</v>
      </c>
      <c r="BI36" s="384">
        <f t="shared" si="23"/>
        <v>127.05208712121211</v>
      </c>
      <c r="BJ36" s="379"/>
    </row>
    <row r="37" spans="2:62" ht="6" customHeight="1">
      <c r="B37" s="387"/>
      <c r="C37" s="388"/>
      <c r="D37" s="388"/>
      <c r="E37" s="85"/>
      <c r="F37" s="85"/>
      <c r="G37" s="422"/>
      <c r="H37" s="422"/>
      <c r="I37" s="422"/>
      <c r="J37" s="422"/>
      <c r="K37" s="422"/>
      <c r="L37" s="422"/>
      <c r="M37" s="422"/>
      <c r="N37" s="379"/>
      <c r="O37" s="379"/>
      <c r="P37" s="379"/>
      <c r="Q37" s="379"/>
      <c r="R37" s="379"/>
      <c r="S37" s="379"/>
      <c r="T37" s="379"/>
      <c r="U37" s="379"/>
      <c r="W37" s="379"/>
      <c r="X37" s="379"/>
      <c r="Y37" s="379"/>
      <c r="Z37" s="379"/>
      <c r="AA37" s="379"/>
      <c r="AB37" s="379"/>
      <c r="AC37" s="379"/>
      <c r="AE37" s="379"/>
      <c r="AF37" s="379"/>
      <c r="AG37" s="379"/>
      <c r="AH37" s="379"/>
      <c r="AI37" s="379"/>
      <c r="AJ37" s="379"/>
      <c r="AK37" s="379"/>
      <c r="AM37" s="379"/>
      <c r="AN37" s="379"/>
      <c r="AO37" s="379"/>
      <c r="AP37" s="379"/>
      <c r="AQ37" s="379"/>
      <c r="AR37" s="379"/>
      <c r="AS37" s="379"/>
      <c r="AU37" s="379"/>
      <c r="AV37" s="379"/>
      <c r="AW37" s="379"/>
      <c r="AX37" s="379"/>
      <c r="AY37" s="379"/>
      <c r="AZ37" s="379"/>
      <c r="BA37" s="379"/>
      <c r="BC37" s="379"/>
      <c r="BD37" s="379"/>
      <c r="BE37" s="379"/>
      <c r="BF37" s="379"/>
      <c r="BG37" s="379"/>
      <c r="BH37" s="379"/>
      <c r="BI37" s="379"/>
    </row>
    <row r="38" spans="2:62" ht="11.1" customHeight="1">
      <c r="B38" s="374">
        <v>40</v>
      </c>
      <c r="C38" s="383"/>
      <c r="D38" s="1412" t="s">
        <v>90</v>
      </c>
      <c r="E38" s="1412"/>
      <c r="F38" s="1413"/>
      <c r="G38" s="416"/>
      <c r="H38" s="417"/>
      <c r="I38" s="418"/>
      <c r="J38" s="419"/>
      <c r="K38" s="419"/>
      <c r="L38" s="419"/>
      <c r="M38" s="419"/>
      <c r="N38" s="602" t="str">
        <f t="shared" ref="N38:N46" si="24">IF(SUM(G38:M38)=SUM(O38:YQ38),"",SUM(O38:YQ38)-SUM(G38:M38))</f>
        <v/>
      </c>
      <c r="O38" s="416"/>
      <c r="P38" s="417"/>
      <c r="Q38" s="418"/>
      <c r="R38" s="419"/>
      <c r="S38" s="419"/>
      <c r="T38" s="419"/>
      <c r="U38" s="419"/>
      <c r="W38" s="416"/>
      <c r="X38" s="417"/>
      <c r="Y38" s="418"/>
      <c r="Z38" s="419"/>
      <c r="AA38" s="419"/>
      <c r="AB38" s="419"/>
      <c r="AC38" s="419"/>
      <c r="AE38" s="416"/>
      <c r="AF38" s="417"/>
      <c r="AG38" s="418"/>
      <c r="AH38" s="419"/>
      <c r="AI38" s="419"/>
      <c r="AJ38" s="419"/>
      <c r="AK38" s="419"/>
      <c r="AM38" s="416"/>
      <c r="AN38" s="417"/>
      <c r="AO38" s="418"/>
      <c r="AP38" s="419"/>
      <c r="AQ38" s="419"/>
      <c r="AR38" s="419"/>
      <c r="AS38" s="419"/>
      <c r="AU38" s="416"/>
      <c r="AV38" s="417"/>
      <c r="AW38" s="418"/>
      <c r="AX38" s="419"/>
      <c r="AY38" s="419"/>
      <c r="AZ38" s="419"/>
      <c r="BA38" s="419"/>
      <c r="BC38" s="416"/>
      <c r="BD38" s="417"/>
      <c r="BE38" s="418"/>
      <c r="BF38" s="419"/>
      <c r="BG38" s="419"/>
      <c r="BH38" s="419"/>
      <c r="BI38" s="419"/>
    </row>
    <row r="39" spans="2:62" ht="11.1" customHeight="1">
      <c r="B39" s="374"/>
      <c r="C39" s="428">
        <v>400</v>
      </c>
      <c r="D39" s="1436" t="s">
        <v>91</v>
      </c>
      <c r="E39" s="1436"/>
      <c r="F39" s="1437"/>
      <c r="G39" s="646"/>
      <c r="H39" s="647"/>
      <c r="I39" s="648">
        <f t="shared" ref="I39:I49" si="25">SUMIFS(O39:PN39,$O$11:$PN$11,I$11)</f>
        <v>0</v>
      </c>
      <c r="J39" s="649">
        <f t="shared" ref="J39:J49" si="26">SUMIFS(O39:PN39,$O$11:$PN$11,J$11)</f>
        <v>0</v>
      </c>
      <c r="K39" s="649">
        <f t="shared" ref="K39:K49" si="27">SUMIFS(O39:PN39,$O$11:$PN$11,K$11)</f>
        <v>0</v>
      </c>
      <c r="L39" s="649">
        <f t="shared" ref="L39:L49" si="28">SUMIFS(O39:PN39,$O$11:$PN$11,L$11)</f>
        <v>0</v>
      </c>
      <c r="M39" s="595">
        <f t="shared" ref="M39:M49" si="29">SUMIFS(O39:PN39,$O$11:$PN$11,M$11)</f>
        <v>0</v>
      </c>
      <c r="N39" s="602" t="str">
        <f t="shared" si="24"/>
        <v/>
      </c>
      <c r="O39" s="424"/>
      <c r="P39" s="429"/>
      <c r="Q39" s="648">
        <f>-SUMIFS('F3 Änderungen ER'!$E$15:$E$289,'F3 Änderungen ER'!$B$15:$B$289,O$7,'F3 Änderungen ER'!$C$15:$C$289,$C39)</f>
        <v>0</v>
      </c>
      <c r="R39" s="649">
        <f>-SUMIFS('F3 Änderungen ER'!$F$15:$F$289,'F3 Änderungen ER'!$B$15:$B$289,O$7,'F3 Änderungen ER'!$C$15:$C$289,$C39)</f>
        <v>0</v>
      </c>
      <c r="S39" s="649">
        <f>-SUMIFS('F3 Änderungen ER'!$G$15:$G$289,'F3 Änderungen ER'!$B$15:$B$289,O$7,'F3 Änderungen ER'!$C$15:$C$289,$C39)</f>
        <v>0</v>
      </c>
      <c r="T39" s="649">
        <f>-SUMIFS('F3 Änderungen ER'!$H$15:$H$289,'F3 Änderungen ER'!$B$15:$B$289,O$7,'F3 Änderungen ER'!$C$15:$C$289,$C39)</f>
        <v>0</v>
      </c>
      <c r="U39" s="595">
        <f>-SUMIFS('F3 Änderungen ER'!$I$15:$I$289,'F3 Änderungen ER'!$B$15:$B$289,O$7,'F3 Änderungen ER'!$C$15:$C$289,$C39)</f>
        <v>0</v>
      </c>
      <c r="W39" s="424"/>
      <c r="X39" s="429"/>
      <c r="Y39" s="648">
        <f>-SUMIFS('F3 Änderungen ER'!$E$15:$E$289,'F3 Änderungen ER'!$B$15:$B$289,W$7,'F3 Änderungen ER'!$C$15:$C$289,$C39)</f>
        <v>0</v>
      </c>
      <c r="Z39" s="649">
        <f>-SUMIFS('F3 Änderungen ER'!$F$15:$F$289,'F3 Änderungen ER'!$B$15:$B$289,W$7,'F3 Änderungen ER'!$C$15:$C$289,$C39)</f>
        <v>0</v>
      </c>
      <c r="AA39" s="649">
        <f>-SUMIFS('F3 Änderungen ER'!$G$15:$G$289,'F3 Änderungen ER'!$B$15:$B$289,W$7,'F3 Änderungen ER'!$C$15:$C$289,$C39)</f>
        <v>0</v>
      </c>
      <c r="AB39" s="649">
        <f>-SUMIFS('F3 Änderungen ER'!$H$15:$H$289,'F3 Änderungen ER'!$B$15:$B$289,W$7,'F3 Änderungen ER'!$C$15:$C$289,$C39)</f>
        <v>0</v>
      </c>
      <c r="AC39" s="595">
        <f>-SUMIFS('F3 Änderungen ER'!$I$15:$I$289,'F3 Änderungen ER'!$B$15:$B$289,W$7,'F3 Änderungen ER'!$C$15:$C$289,$C39)</f>
        <v>0</v>
      </c>
      <c r="AE39" s="424"/>
      <c r="AF39" s="429"/>
      <c r="AG39" s="648">
        <f>-SUMIFS('F3 Änderungen ER'!$E$15:$E$289,'F3 Änderungen ER'!$B$15:$B$289,AE$7,'F3 Änderungen ER'!$C$15:$C$289,$C39)</f>
        <v>0</v>
      </c>
      <c r="AH39" s="649">
        <f>-SUMIFS('F3 Änderungen ER'!$F$15:$F$289,'F3 Änderungen ER'!$B$15:$B$289,AE$7,'F3 Änderungen ER'!$C$15:$C$289,$C39)</f>
        <v>0</v>
      </c>
      <c r="AI39" s="649">
        <f>-SUMIFS('F3 Änderungen ER'!$G$15:$G$289,'F3 Änderungen ER'!$B$15:$B$289,AE$7,'F3 Änderungen ER'!$C$15:$C$289,$C39)</f>
        <v>0</v>
      </c>
      <c r="AJ39" s="649">
        <f>-SUMIFS('F3 Änderungen ER'!$H$15:$H$289,'F3 Änderungen ER'!$B$15:$B$289,AE$7,'F3 Änderungen ER'!$C$15:$C$289,$C39)</f>
        <v>0</v>
      </c>
      <c r="AK39" s="595">
        <f>-SUMIFS('F3 Änderungen ER'!$I$15:$I$289,'F3 Änderungen ER'!$B$15:$B$289,AE$7,'F3 Änderungen ER'!$C$15:$C$289,$C39)</f>
        <v>0</v>
      </c>
      <c r="AM39" s="424"/>
      <c r="AN39" s="429"/>
      <c r="AO39" s="648">
        <f>-SUMIFS('F3 Änderungen ER'!$E$15:$E$289,'F3 Änderungen ER'!$B$15:$B$289,AM$7,'F3 Änderungen ER'!$C$15:$C$289,$C39)</f>
        <v>0</v>
      </c>
      <c r="AP39" s="649">
        <f>-SUMIFS('F3 Änderungen ER'!$F$15:$F$289,'F3 Änderungen ER'!$B$15:$B$289,AM$7,'F3 Änderungen ER'!$C$15:$C$289,$C39)</f>
        <v>0</v>
      </c>
      <c r="AQ39" s="649">
        <f>-SUMIFS('F3 Änderungen ER'!$G$15:$G$289,'F3 Änderungen ER'!$B$15:$B$289,AM$7,'F3 Änderungen ER'!$C$15:$C$289,$C39)</f>
        <v>0</v>
      </c>
      <c r="AR39" s="649">
        <f>-SUMIFS('F3 Änderungen ER'!$H$15:$H$289,'F3 Änderungen ER'!$B$15:$B$289,AM$7,'F3 Änderungen ER'!$C$15:$C$289,$C39)</f>
        <v>0</v>
      </c>
      <c r="AS39" s="595">
        <f>-SUMIFS('F3 Änderungen ER'!$I$15:$I$289,'F3 Änderungen ER'!$B$15:$B$289,AM$7,'F3 Änderungen ER'!$C$15:$C$289,$C39)</f>
        <v>0</v>
      </c>
      <c r="AU39" s="424"/>
      <c r="AV39" s="429"/>
      <c r="AW39" s="648">
        <f>-SUMIFS('F3 Änderungen ER'!$E$15:$E$289,'F3 Änderungen ER'!$B$15:$B$289,AU$7,'F3 Änderungen ER'!$C$15:$C$289,$C39)</f>
        <v>0</v>
      </c>
      <c r="AX39" s="649">
        <f>-SUMIFS('F3 Änderungen ER'!$F$15:$F$289,'F3 Änderungen ER'!$B$15:$B$289,AU$7,'F3 Änderungen ER'!$C$15:$C$289,$C39)</f>
        <v>0</v>
      </c>
      <c r="AY39" s="649">
        <f>-SUMIFS('F3 Änderungen ER'!$G$15:$G$289,'F3 Änderungen ER'!$B$15:$B$289,AU$7,'F3 Änderungen ER'!$C$15:$C$289,$C39)</f>
        <v>0</v>
      </c>
      <c r="AZ39" s="649">
        <f>-SUMIFS('F3 Änderungen ER'!$H$15:$H$289,'F3 Änderungen ER'!$B$15:$B$289,AU$7,'F3 Änderungen ER'!$C$15:$C$289,$C39)</f>
        <v>0</v>
      </c>
      <c r="BA39" s="595">
        <f>-SUMIFS('F3 Änderungen ER'!$I$15:$I$289,'F3 Änderungen ER'!$B$15:$B$289,AU$7,'F3 Änderungen ER'!$C$15:$C$289,$C39)</f>
        <v>0</v>
      </c>
      <c r="BC39" s="424"/>
      <c r="BD39" s="429"/>
      <c r="BE39" s="648">
        <f>-SUMIFS('F3 Änderungen ER'!$E$15:$E$289,'F3 Änderungen ER'!$B$15:$B$289,BC$7,'F3 Änderungen ER'!$C$15:$C$289,$C39)</f>
        <v>0</v>
      </c>
      <c r="BF39" s="649">
        <f>-SUMIFS('F3 Änderungen ER'!$F$15:$F$289,'F3 Änderungen ER'!$B$15:$B$289,BC$7,'F3 Änderungen ER'!$C$15:$C$289,$C39)</f>
        <v>0</v>
      </c>
      <c r="BG39" s="649">
        <f>-SUMIFS('F3 Änderungen ER'!$G$15:$G$289,'F3 Änderungen ER'!$B$15:$B$289,BC$7,'F3 Änderungen ER'!$C$15:$C$289,$C39)</f>
        <v>0</v>
      </c>
      <c r="BH39" s="649">
        <f>-SUMIFS('F3 Änderungen ER'!$H$15:$H$289,'F3 Änderungen ER'!$B$15:$B$289,BC$7,'F3 Änderungen ER'!$C$15:$C$289,$C39)</f>
        <v>0</v>
      </c>
      <c r="BI39" s="595">
        <f>-SUMIFS('F3 Änderungen ER'!$I$15:$I$289,'F3 Änderungen ER'!$B$15:$B$289,BC$7,'F3 Änderungen ER'!$C$15:$C$289,$C39)</f>
        <v>0</v>
      </c>
    </row>
    <row r="40" spans="2:62" ht="11.1" customHeight="1">
      <c r="B40" s="374"/>
      <c r="C40" s="428">
        <v>401</v>
      </c>
      <c r="D40" s="1436" t="s">
        <v>92</v>
      </c>
      <c r="E40" s="1436"/>
      <c r="F40" s="1437"/>
      <c r="G40" s="646"/>
      <c r="H40" s="647"/>
      <c r="I40" s="648">
        <f t="shared" si="25"/>
        <v>0</v>
      </c>
      <c r="J40" s="649">
        <f t="shared" si="26"/>
        <v>0</v>
      </c>
      <c r="K40" s="649">
        <f t="shared" si="27"/>
        <v>0</v>
      </c>
      <c r="L40" s="649">
        <f t="shared" si="28"/>
        <v>0</v>
      </c>
      <c r="M40" s="595">
        <f t="shared" si="29"/>
        <v>0</v>
      </c>
      <c r="N40" s="602" t="str">
        <f t="shared" si="24"/>
        <v/>
      </c>
      <c r="O40" s="424"/>
      <c r="P40" s="429"/>
      <c r="Q40" s="648">
        <f>-SUMIFS('F3 Änderungen ER'!$E$15:$E$289,'F3 Änderungen ER'!$B$15:$B$289,O$7,'F3 Änderungen ER'!$C$15:$C$289,$C40)</f>
        <v>0</v>
      </c>
      <c r="R40" s="649">
        <f>-SUMIFS('F3 Änderungen ER'!$F$15:$F$289,'F3 Änderungen ER'!$B$15:$B$289,O$7,'F3 Änderungen ER'!$C$15:$C$289,$C40)</f>
        <v>0</v>
      </c>
      <c r="S40" s="649">
        <f>-SUMIFS('F3 Änderungen ER'!$G$15:$G$289,'F3 Änderungen ER'!$B$15:$B$289,O$7,'F3 Änderungen ER'!$C$15:$C$289,$C40)</f>
        <v>0</v>
      </c>
      <c r="T40" s="649">
        <f>-SUMIFS('F3 Änderungen ER'!$H$15:$H$289,'F3 Änderungen ER'!$B$15:$B$289,O$7,'F3 Änderungen ER'!$C$15:$C$289,$C40)</f>
        <v>0</v>
      </c>
      <c r="U40" s="595">
        <f>-SUMIFS('F3 Änderungen ER'!$I$15:$I$289,'F3 Änderungen ER'!$B$15:$B$289,O$7,'F3 Änderungen ER'!$C$15:$C$289,$C40)</f>
        <v>0</v>
      </c>
      <c r="W40" s="424"/>
      <c r="X40" s="429"/>
      <c r="Y40" s="648">
        <f>-SUMIFS('F3 Änderungen ER'!$E$15:$E$289,'F3 Änderungen ER'!$B$15:$B$289,W$7,'F3 Änderungen ER'!$C$15:$C$289,$C40)</f>
        <v>0</v>
      </c>
      <c r="Z40" s="649">
        <f>-SUMIFS('F3 Änderungen ER'!$F$15:$F$289,'F3 Änderungen ER'!$B$15:$B$289,W$7,'F3 Änderungen ER'!$C$15:$C$289,$C40)</f>
        <v>0</v>
      </c>
      <c r="AA40" s="649">
        <f>-SUMIFS('F3 Änderungen ER'!$G$15:$G$289,'F3 Änderungen ER'!$B$15:$B$289,W$7,'F3 Änderungen ER'!$C$15:$C$289,$C40)</f>
        <v>0</v>
      </c>
      <c r="AB40" s="649">
        <f>-SUMIFS('F3 Änderungen ER'!$H$15:$H$289,'F3 Änderungen ER'!$B$15:$B$289,W$7,'F3 Änderungen ER'!$C$15:$C$289,$C40)</f>
        <v>0</v>
      </c>
      <c r="AC40" s="595">
        <f>-SUMIFS('F3 Änderungen ER'!$I$15:$I$289,'F3 Änderungen ER'!$B$15:$B$289,W$7,'F3 Änderungen ER'!$C$15:$C$289,$C40)</f>
        <v>0</v>
      </c>
      <c r="AE40" s="424"/>
      <c r="AF40" s="429"/>
      <c r="AG40" s="648">
        <f>-SUMIFS('F3 Änderungen ER'!$E$15:$E$289,'F3 Änderungen ER'!$B$15:$B$289,AE$7,'F3 Änderungen ER'!$C$15:$C$289,$C40)</f>
        <v>0</v>
      </c>
      <c r="AH40" s="649">
        <f>-SUMIFS('F3 Änderungen ER'!$F$15:$F$289,'F3 Änderungen ER'!$B$15:$B$289,AE$7,'F3 Änderungen ER'!$C$15:$C$289,$C40)</f>
        <v>0</v>
      </c>
      <c r="AI40" s="649">
        <f>-SUMIFS('F3 Änderungen ER'!$G$15:$G$289,'F3 Änderungen ER'!$B$15:$B$289,AE$7,'F3 Änderungen ER'!$C$15:$C$289,$C40)</f>
        <v>0</v>
      </c>
      <c r="AJ40" s="649">
        <f>-SUMIFS('F3 Änderungen ER'!$H$15:$H$289,'F3 Änderungen ER'!$B$15:$B$289,AE$7,'F3 Änderungen ER'!$C$15:$C$289,$C40)</f>
        <v>0</v>
      </c>
      <c r="AK40" s="595">
        <f>-SUMIFS('F3 Änderungen ER'!$I$15:$I$289,'F3 Änderungen ER'!$B$15:$B$289,AE$7,'F3 Änderungen ER'!$C$15:$C$289,$C40)</f>
        <v>0</v>
      </c>
      <c r="AM40" s="424"/>
      <c r="AN40" s="429"/>
      <c r="AO40" s="648">
        <f>-SUMIFS('F3 Änderungen ER'!$E$15:$E$289,'F3 Änderungen ER'!$B$15:$B$289,AM$7,'F3 Änderungen ER'!$C$15:$C$289,$C40)</f>
        <v>0</v>
      </c>
      <c r="AP40" s="649">
        <f>-SUMIFS('F3 Änderungen ER'!$F$15:$F$289,'F3 Änderungen ER'!$B$15:$B$289,AM$7,'F3 Änderungen ER'!$C$15:$C$289,$C40)</f>
        <v>0</v>
      </c>
      <c r="AQ40" s="649">
        <f>-SUMIFS('F3 Änderungen ER'!$G$15:$G$289,'F3 Änderungen ER'!$B$15:$B$289,AM$7,'F3 Änderungen ER'!$C$15:$C$289,$C40)</f>
        <v>0</v>
      </c>
      <c r="AR40" s="649">
        <f>-SUMIFS('F3 Änderungen ER'!$H$15:$H$289,'F3 Änderungen ER'!$B$15:$B$289,AM$7,'F3 Änderungen ER'!$C$15:$C$289,$C40)</f>
        <v>0</v>
      </c>
      <c r="AS40" s="595">
        <f>-SUMIFS('F3 Änderungen ER'!$I$15:$I$289,'F3 Änderungen ER'!$B$15:$B$289,AM$7,'F3 Änderungen ER'!$C$15:$C$289,$C40)</f>
        <v>0</v>
      </c>
      <c r="AU40" s="424"/>
      <c r="AV40" s="429"/>
      <c r="AW40" s="648">
        <f>-SUMIFS('F3 Änderungen ER'!$E$15:$E$289,'F3 Änderungen ER'!$B$15:$B$289,AU$7,'F3 Änderungen ER'!$C$15:$C$289,$C40)</f>
        <v>0</v>
      </c>
      <c r="AX40" s="649">
        <f>-SUMIFS('F3 Änderungen ER'!$F$15:$F$289,'F3 Änderungen ER'!$B$15:$B$289,AU$7,'F3 Änderungen ER'!$C$15:$C$289,$C40)</f>
        <v>0</v>
      </c>
      <c r="AY40" s="649">
        <f>-SUMIFS('F3 Änderungen ER'!$G$15:$G$289,'F3 Änderungen ER'!$B$15:$B$289,AU$7,'F3 Änderungen ER'!$C$15:$C$289,$C40)</f>
        <v>0</v>
      </c>
      <c r="AZ40" s="649">
        <f>-SUMIFS('F3 Änderungen ER'!$H$15:$H$289,'F3 Änderungen ER'!$B$15:$B$289,AU$7,'F3 Änderungen ER'!$C$15:$C$289,$C40)</f>
        <v>0</v>
      </c>
      <c r="BA40" s="595">
        <f>-SUMIFS('F3 Änderungen ER'!$I$15:$I$289,'F3 Änderungen ER'!$B$15:$B$289,AU$7,'F3 Änderungen ER'!$C$15:$C$289,$C40)</f>
        <v>0</v>
      </c>
      <c r="BC40" s="424"/>
      <c r="BD40" s="429"/>
      <c r="BE40" s="648">
        <f>-SUMIFS('F3 Änderungen ER'!$E$15:$E$289,'F3 Änderungen ER'!$B$15:$B$289,BC$7,'F3 Änderungen ER'!$C$15:$C$289,$C40)</f>
        <v>0</v>
      </c>
      <c r="BF40" s="649">
        <f>-SUMIFS('F3 Änderungen ER'!$F$15:$F$289,'F3 Änderungen ER'!$B$15:$B$289,BC$7,'F3 Änderungen ER'!$C$15:$C$289,$C40)</f>
        <v>0</v>
      </c>
      <c r="BG40" s="649">
        <f>-SUMIFS('F3 Änderungen ER'!$G$15:$G$289,'F3 Änderungen ER'!$B$15:$B$289,BC$7,'F3 Änderungen ER'!$C$15:$C$289,$C40)</f>
        <v>0</v>
      </c>
      <c r="BH40" s="649">
        <f>-SUMIFS('F3 Änderungen ER'!$H$15:$H$289,'F3 Änderungen ER'!$B$15:$B$289,BC$7,'F3 Änderungen ER'!$C$15:$C$289,$C40)</f>
        <v>0</v>
      </c>
      <c r="BI40" s="595">
        <f>-SUMIFS('F3 Änderungen ER'!$I$15:$I$289,'F3 Änderungen ER'!$B$15:$B$289,BC$7,'F3 Änderungen ER'!$C$15:$C$289,$C40)</f>
        <v>0</v>
      </c>
    </row>
    <row r="41" spans="2:62" ht="11.1" customHeight="1">
      <c r="B41" s="374"/>
      <c r="C41" s="428">
        <v>402</v>
      </c>
      <c r="D41" s="1436" t="s">
        <v>162</v>
      </c>
      <c r="E41" s="1436"/>
      <c r="F41" s="1437"/>
      <c r="G41" s="646"/>
      <c r="H41" s="647"/>
      <c r="I41" s="648">
        <f t="shared" si="25"/>
        <v>0</v>
      </c>
      <c r="J41" s="649">
        <f t="shared" si="26"/>
        <v>0</v>
      </c>
      <c r="K41" s="649">
        <f t="shared" si="27"/>
        <v>0</v>
      </c>
      <c r="L41" s="649">
        <f t="shared" si="28"/>
        <v>0</v>
      </c>
      <c r="M41" s="595">
        <f t="shared" si="29"/>
        <v>0</v>
      </c>
      <c r="N41" s="602" t="str">
        <f t="shared" si="24"/>
        <v/>
      </c>
      <c r="O41" s="424"/>
      <c r="P41" s="429"/>
      <c r="Q41" s="648">
        <f>-SUMIFS('F3 Änderungen ER'!$E$15:$E$289,'F3 Änderungen ER'!$B$15:$B$289,O$7,'F3 Änderungen ER'!$C$15:$C$289,$C41)</f>
        <v>0</v>
      </c>
      <c r="R41" s="649">
        <f>-SUMIFS('F3 Änderungen ER'!$F$15:$F$289,'F3 Änderungen ER'!$B$15:$B$289,O$7,'F3 Änderungen ER'!$C$15:$C$289,$C41)</f>
        <v>0</v>
      </c>
      <c r="S41" s="649">
        <f>-SUMIFS('F3 Änderungen ER'!$G$15:$G$289,'F3 Änderungen ER'!$B$15:$B$289,O$7,'F3 Änderungen ER'!$C$15:$C$289,$C41)</f>
        <v>0</v>
      </c>
      <c r="T41" s="649">
        <f>-SUMIFS('F3 Änderungen ER'!$H$15:$H$289,'F3 Änderungen ER'!$B$15:$B$289,O$7,'F3 Änderungen ER'!$C$15:$C$289,$C41)</f>
        <v>0</v>
      </c>
      <c r="U41" s="595">
        <f>-SUMIFS('F3 Änderungen ER'!$I$15:$I$289,'F3 Änderungen ER'!$B$15:$B$289,O$7,'F3 Änderungen ER'!$C$15:$C$289,$C41)</f>
        <v>0</v>
      </c>
      <c r="W41" s="424"/>
      <c r="X41" s="429"/>
      <c r="Y41" s="648">
        <f>-SUMIFS('F3 Änderungen ER'!$E$15:$E$289,'F3 Änderungen ER'!$B$15:$B$289,W$7,'F3 Änderungen ER'!$C$15:$C$289,$C41)</f>
        <v>0</v>
      </c>
      <c r="Z41" s="649">
        <f>-SUMIFS('F3 Änderungen ER'!$F$15:$F$289,'F3 Änderungen ER'!$B$15:$B$289,W$7,'F3 Änderungen ER'!$C$15:$C$289,$C41)</f>
        <v>0</v>
      </c>
      <c r="AA41" s="649">
        <f>-SUMIFS('F3 Änderungen ER'!$G$15:$G$289,'F3 Änderungen ER'!$B$15:$B$289,W$7,'F3 Änderungen ER'!$C$15:$C$289,$C41)</f>
        <v>0</v>
      </c>
      <c r="AB41" s="649">
        <f>-SUMIFS('F3 Änderungen ER'!$H$15:$H$289,'F3 Änderungen ER'!$B$15:$B$289,W$7,'F3 Änderungen ER'!$C$15:$C$289,$C41)</f>
        <v>0</v>
      </c>
      <c r="AC41" s="595">
        <f>-SUMIFS('F3 Änderungen ER'!$I$15:$I$289,'F3 Änderungen ER'!$B$15:$B$289,W$7,'F3 Änderungen ER'!$C$15:$C$289,$C41)</f>
        <v>0</v>
      </c>
      <c r="AE41" s="424"/>
      <c r="AF41" s="429"/>
      <c r="AG41" s="648">
        <f>-SUMIFS('F3 Änderungen ER'!$E$15:$E$289,'F3 Änderungen ER'!$B$15:$B$289,AE$7,'F3 Änderungen ER'!$C$15:$C$289,$C41)</f>
        <v>0</v>
      </c>
      <c r="AH41" s="649">
        <f>-SUMIFS('F3 Änderungen ER'!$F$15:$F$289,'F3 Änderungen ER'!$B$15:$B$289,AE$7,'F3 Änderungen ER'!$C$15:$C$289,$C41)</f>
        <v>0</v>
      </c>
      <c r="AI41" s="649">
        <f>-SUMIFS('F3 Änderungen ER'!$G$15:$G$289,'F3 Änderungen ER'!$B$15:$B$289,AE$7,'F3 Änderungen ER'!$C$15:$C$289,$C41)</f>
        <v>0</v>
      </c>
      <c r="AJ41" s="649">
        <f>-SUMIFS('F3 Änderungen ER'!$H$15:$H$289,'F3 Änderungen ER'!$B$15:$B$289,AE$7,'F3 Änderungen ER'!$C$15:$C$289,$C41)</f>
        <v>0</v>
      </c>
      <c r="AK41" s="595">
        <f>-SUMIFS('F3 Änderungen ER'!$I$15:$I$289,'F3 Änderungen ER'!$B$15:$B$289,AE$7,'F3 Änderungen ER'!$C$15:$C$289,$C41)</f>
        <v>0</v>
      </c>
      <c r="AM41" s="424"/>
      <c r="AN41" s="429"/>
      <c r="AO41" s="648">
        <f>-SUMIFS('F3 Änderungen ER'!$E$15:$E$289,'F3 Änderungen ER'!$B$15:$B$289,AM$7,'F3 Änderungen ER'!$C$15:$C$289,$C41)</f>
        <v>0</v>
      </c>
      <c r="AP41" s="649">
        <f>-SUMIFS('F3 Änderungen ER'!$F$15:$F$289,'F3 Änderungen ER'!$B$15:$B$289,AM$7,'F3 Änderungen ER'!$C$15:$C$289,$C41)</f>
        <v>0</v>
      </c>
      <c r="AQ41" s="649">
        <f>-SUMIFS('F3 Änderungen ER'!$G$15:$G$289,'F3 Änderungen ER'!$B$15:$B$289,AM$7,'F3 Änderungen ER'!$C$15:$C$289,$C41)</f>
        <v>0</v>
      </c>
      <c r="AR41" s="649">
        <f>-SUMIFS('F3 Änderungen ER'!$H$15:$H$289,'F3 Änderungen ER'!$B$15:$B$289,AM$7,'F3 Änderungen ER'!$C$15:$C$289,$C41)</f>
        <v>0</v>
      </c>
      <c r="AS41" s="595">
        <f>-SUMIFS('F3 Änderungen ER'!$I$15:$I$289,'F3 Änderungen ER'!$B$15:$B$289,AM$7,'F3 Änderungen ER'!$C$15:$C$289,$C41)</f>
        <v>0</v>
      </c>
      <c r="AU41" s="424"/>
      <c r="AV41" s="429"/>
      <c r="AW41" s="648">
        <f>-SUMIFS('F3 Änderungen ER'!$E$15:$E$289,'F3 Änderungen ER'!$B$15:$B$289,AU$7,'F3 Änderungen ER'!$C$15:$C$289,$C41)</f>
        <v>0</v>
      </c>
      <c r="AX41" s="649">
        <f>-SUMIFS('F3 Änderungen ER'!$F$15:$F$289,'F3 Änderungen ER'!$B$15:$B$289,AU$7,'F3 Änderungen ER'!$C$15:$C$289,$C41)</f>
        <v>0</v>
      </c>
      <c r="AY41" s="649">
        <f>-SUMIFS('F3 Änderungen ER'!$G$15:$G$289,'F3 Änderungen ER'!$B$15:$B$289,AU$7,'F3 Änderungen ER'!$C$15:$C$289,$C41)</f>
        <v>0</v>
      </c>
      <c r="AZ41" s="649">
        <f>-SUMIFS('F3 Änderungen ER'!$H$15:$H$289,'F3 Änderungen ER'!$B$15:$B$289,AU$7,'F3 Änderungen ER'!$C$15:$C$289,$C41)</f>
        <v>0</v>
      </c>
      <c r="BA41" s="595">
        <f>-SUMIFS('F3 Änderungen ER'!$I$15:$I$289,'F3 Änderungen ER'!$B$15:$B$289,AU$7,'F3 Änderungen ER'!$C$15:$C$289,$C41)</f>
        <v>0</v>
      </c>
      <c r="BC41" s="424"/>
      <c r="BD41" s="429"/>
      <c r="BE41" s="648">
        <f>-SUMIFS('F3 Änderungen ER'!$E$15:$E$289,'F3 Änderungen ER'!$B$15:$B$289,BC$7,'F3 Änderungen ER'!$C$15:$C$289,$C41)</f>
        <v>0</v>
      </c>
      <c r="BF41" s="649">
        <f>-SUMIFS('F3 Änderungen ER'!$F$15:$F$289,'F3 Änderungen ER'!$B$15:$B$289,BC$7,'F3 Änderungen ER'!$C$15:$C$289,$C41)</f>
        <v>0</v>
      </c>
      <c r="BG41" s="649">
        <f>-SUMIFS('F3 Änderungen ER'!$G$15:$G$289,'F3 Änderungen ER'!$B$15:$B$289,BC$7,'F3 Änderungen ER'!$C$15:$C$289,$C41)</f>
        <v>0</v>
      </c>
      <c r="BH41" s="649">
        <f>-SUMIFS('F3 Änderungen ER'!$H$15:$H$289,'F3 Änderungen ER'!$B$15:$B$289,BC$7,'F3 Änderungen ER'!$C$15:$C$289,$C41)</f>
        <v>0</v>
      </c>
      <c r="BI41" s="595">
        <f>-SUMIFS('F3 Änderungen ER'!$I$15:$I$289,'F3 Änderungen ER'!$B$15:$B$289,BC$7,'F3 Änderungen ER'!$C$15:$C$289,$C41)</f>
        <v>0</v>
      </c>
    </row>
    <row r="42" spans="2:62" ht="11.1" customHeight="1">
      <c r="B42" s="374"/>
      <c r="C42" s="428">
        <v>403</v>
      </c>
      <c r="D42" s="1436" t="s">
        <v>81</v>
      </c>
      <c r="E42" s="1436"/>
      <c r="F42" s="1437"/>
      <c r="G42" s="646"/>
      <c r="H42" s="647"/>
      <c r="I42" s="648">
        <f t="shared" si="25"/>
        <v>0</v>
      </c>
      <c r="J42" s="649">
        <f t="shared" si="26"/>
        <v>0</v>
      </c>
      <c r="K42" s="649">
        <f t="shared" si="27"/>
        <v>0</v>
      </c>
      <c r="L42" s="649">
        <f t="shared" si="28"/>
        <v>0</v>
      </c>
      <c r="M42" s="595">
        <f t="shared" si="29"/>
        <v>0</v>
      </c>
      <c r="N42" s="602" t="str">
        <f t="shared" si="24"/>
        <v/>
      </c>
      <c r="O42" s="424"/>
      <c r="P42" s="429"/>
      <c r="Q42" s="648">
        <f>-SUMIFS('F3 Änderungen ER'!$E$15:$E$289,'F3 Änderungen ER'!$B$15:$B$289,O$7,'F3 Änderungen ER'!$C$15:$C$289,$C42)</f>
        <v>0</v>
      </c>
      <c r="R42" s="649">
        <f>-SUMIFS('F3 Änderungen ER'!$F$15:$F$289,'F3 Änderungen ER'!$B$15:$B$289,O$7,'F3 Änderungen ER'!$C$15:$C$289,$C42)</f>
        <v>0</v>
      </c>
      <c r="S42" s="649">
        <f>-SUMIFS('F3 Änderungen ER'!$G$15:$G$289,'F3 Änderungen ER'!$B$15:$B$289,O$7,'F3 Änderungen ER'!$C$15:$C$289,$C42)</f>
        <v>0</v>
      </c>
      <c r="T42" s="649">
        <f>-SUMIFS('F3 Änderungen ER'!$H$15:$H$289,'F3 Änderungen ER'!$B$15:$B$289,O$7,'F3 Änderungen ER'!$C$15:$C$289,$C42)</f>
        <v>0</v>
      </c>
      <c r="U42" s="595">
        <f>-SUMIFS('F3 Änderungen ER'!$I$15:$I$289,'F3 Änderungen ER'!$B$15:$B$289,O$7,'F3 Änderungen ER'!$C$15:$C$289,$C42)</f>
        <v>0</v>
      </c>
      <c r="W42" s="424"/>
      <c r="X42" s="429"/>
      <c r="Y42" s="648">
        <f>-SUMIFS('F3 Änderungen ER'!$E$15:$E$289,'F3 Änderungen ER'!$B$15:$B$289,W$7,'F3 Änderungen ER'!$C$15:$C$289,$C42)</f>
        <v>0</v>
      </c>
      <c r="Z42" s="649">
        <f>-SUMIFS('F3 Änderungen ER'!$F$15:$F$289,'F3 Änderungen ER'!$B$15:$B$289,W$7,'F3 Änderungen ER'!$C$15:$C$289,$C42)</f>
        <v>0</v>
      </c>
      <c r="AA42" s="649">
        <f>-SUMIFS('F3 Änderungen ER'!$G$15:$G$289,'F3 Änderungen ER'!$B$15:$B$289,W$7,'F3 Änderungen ER'!$C$15:$C$289,$C42)</f>
        <v>0</v>
      </c>
      <c r="AB42" s="649">
        <f>-SUMIFS('F3 Änderungen ER'!$H$15:$H$289,'F3 Änderungen ER'!$B$15:$B$289,W$7,'F3 Änderungen ER'!$C$15:$C$289,$C42)</f>
        <v>0</v>
      </c>
      <c r="AC42" s="595">
        <f>-SUMIFS('F3 Änderungen ER'!$I$15:$I$289,'F3 Änderungen ER'!$B$15:$B$289,W$7,'F3 Änderungen ER'!$C$15:$C$289,$C42)</f>
        <v>0</v>
      </c>
      <c r="AE42" s="424"/>
      <c r="AF42" s="429"/>
      <c r="AG42" s="648">
        <f>-SUMIFS('F3 Änderungen ER'!$E$15:$E$289,'F3 Änderungen ER'!$B$15:$B$289,AE$7,'F3 Änderungen ER'!$C$15:$C$289,$C42)</f>
        <v>0</v>
      </c>
      <c r="AH42" s="649">
        <f>-SUMIFS('F3 Änderungen ER'!$F$15:$F$289,'F3 Änderungen ER'!$B$15:$B$289,AE$7,'F3 Änderungen ER'!$C$15:$C$289,$C42)</f>
        <v>0</v>
      </c>
      <c r="AI42" s="649">
        <f>-SUMIFS('F3 Änderungen ER'!$G$15:$G$289,'F3 Änderungen ER'!$B$15:$B$289,AE$7,'F3 Änderungen ER'!$C$15:$C$289,$C42)</f>
        <v>0</v>
      </c>
      <c r="AJ42" s="649">
        <f>-SUMIFS('F3 Änderungen ER'!$H$15:$H$289,'F3 Änderungen ER'!$B$15:$B$289,AE$7,'F3 Änderungen ER'!$C$15:$C$289,$C42)</f>
        <v>0</v>
      </c>
      <c r="AK42" s="595">
        <f>-SUMIFS('F3 Änderungen ER'!$I$15:$I$289,'F3 Änderungen ER'!$B$15:$B$289,AE$7,'F3 Änderungen ER'!$C$15:$C$289,$C42)</f>
        <v>0</v>
      </c>
      <c r="AM42" s="424"/>
      <c r="AN42" s="429"/>
      <c r="AO42" s="648">
        <f>-SUMIFS('F3 Änderungen ER'!$E$15:$E$289,'F3 Änderungen ER'!$B$15:$B$289,AM$7,'F3 Änderungen ER'!$C$15:$C$289,$C42)</f>
        <v>0</v>
      </c>
      <c r="AP42" s="649">
        <f>-SUMIFS('F3 Änderungen ER'!$F$15:$F$289,'F3 Änderungen ER'!$B$15:$B$289,AM$7,'F3 Änderungen ER'!$C$15:$C$289,$C42)</f>
        <v>0</v>
      </c>
      <c r="AQ42" s="649">
        <f>-SUMIFS('F3 Änderungen ER'!$G$15:$G$289,'F3 Änderungen ER'!$B$15:$B$289,AM$7,'F3 Änderungen ER'!$C$15:$C$289,$C42)</f>
        <v>0</v>
      </c>
      <c r="AR42" s="649">
        <f>-SUMIFS('F3 Änderungen ER'!$H$15:$H$289,'F3 Änderungen ER'!$B$15:$B$289,AM$7,'F3 Änderungen ER'!$C$15:$C$289,$C42)</f>
        <v>0</v>
      </c>
      <c r="AS42" s="595">
        <f>-SUMIFS('F3 Änderungen ER'!$I$15:$I$289,'F3 Änderungen ER'!$B$15:$B$289,AM$7,'F3 Änderungen ER'!$C$15:$C$289,$C42)</f>
        <v>0</v>
      </c>
      <c r="AU42" s="424"/>
      <c r="AV42" s="429"/>
      <c r="AW42" s="648">
        <f>-SUMIFS('F3 Änderungen ER'!$E$15:$E$289,'F3 Änderungen ER'!$B$15:$B$289,AU$7,'F3 Änderungen ER'!$C$15:$C$289,$C42)</f>
        <v>0</v>
      </c>
      <c r="AX42" s="649">
        <f>-SUMIFS('F3 Änderungen ER'!$F$15:$F$289,'F3 Änderungen ER'!$B$15:$B$289,AU$7,'F3 Änderungen ER'!$C$15:$C$289,$C42)</f>
        <v>0</v>
      </c>
      <c r="AY42" s="649">
        <f>-SUMIFS('F3 Änderungen ER'!$G$15:$G$289,'F3 Änderungen ER'!$B$15:$B$289,AU$7,'F3 Änderungen ER'!$C$15:$C$289,$C42)</f>
        <v>0</v>
      </c>
      <c r="AZ42" s="649">
        <f>-SUMIFS('F3 Änderungen ER'!$H$15:$H$289,'F3 Änderungen ER'!$B$15:$B$289,AU$7,'F3 Änderungen ER'!$C$15:$C$289,$C42)</f>
        <v>0</v>
      </c>
      <c r="BA42" s="595">
        <f>-SUMIFS('F3 Änderungen ER'!$I$15:$I$289,'F3 Änderungen ER'!$B$15:$B$289,AU$7,'F3 Änderungen ER'!$C$15:$C$289,$C42)</f>
        <v>0</v>
      </c>
      <c r="BC42" s="424"/>
      <c r="BD42" s="429"/>
      <c r="BE42" s="648">
        <f>-SUMIFS('F3 Änderungen ER'!$E$15:$E$289,'F3 Änderungen ER'!$B$15:$B$289,BC$7,'F3 Änderungen ER'!$C$15:$C$289,$C42)</f>
        <v>0</v>
      </c>
      <c r="BF42" s="649">
        <f>-SUMIFS('F3 Änderungen ER'!$F$15:$F$289,'F3 Änderungen ER'!$B$15:$B$289,BC$7,'F3 Änderungen ER'!$C$15:$C$289,$C42)</f>
        <v>0</v>
      </c>
      <c r="BG42" s="649">
        <f>-SUMIFS('F3 Änderungen ER'!$G$15:$G$289,'F3 Änderungen ER'!$B$15:$B$289,BC$7,'F3 Änderungen ER'!$C$15:$C$289,$C42)</f>
        <v>0</v>
      </c>
      <c r="BH42" s="649">
        <f>-SUMIFS('F3 Änderungen ER'!$H$15:$H$289,'F3 Änderungen ER'!$B$15:$B$289,BC$7,'F3 Änderungen ER'!$C$15:$C$289,$C42)</f>
        <v>0</v>
      </c>
      <c r="BI42" s="595">
        <f>-SUMIFS('F3 Änderungen ER'!$I$15:$I$289,'F3 Änderungen ER'!$B$15:$B$289,BC$7,'F3 Änderungen ER'!$C$15:$C$289,$C42)</f>
        <v>0</v>
      </c>
    </row>
    <row r="43" spans="2:62" ht="11.1" customHeight="1">
      <c r="B43" s="374">
        <v>41</v>
      </c>
      <c r="C43" s="383"/>
      <c r="D43" s="1412" t="s">
        <v>18</v>
      </c>
      <c r="E43" s="1412"/>
      <c r="F43" s="1413"/>
      <c r="G43" s="420"/>
      <c r="H43" s="421"/>
      <c r="I43" s="422">
        <f t="shared" si="25"/>
        <v>0</v>
      </c>
      <c r="J43" s="420">
        <f t="shared" si="26"/>
        <v>0</v>
      </c>
      <c r="K43" s="420">
        <f t="shared" si="27"/>
        <v>0</v>
      </c>
      <c r="L43" s="420">
        <f t="shared" si="28"/>
        <v>0</v>
      </c>
      <c r="M43" s="423">
        <f t="shared" si="29"/>
        <v>0</v>
      </c>
      <c r="N43" s="602" t="str">
        <f t="shared" si="24"/>
        <v/>
      </c>
      <c r="O43" s="420"/>
      <c r="P43" s="421"/>
      <c r="Q43" s="670">
        <f>-SUMIFS('F3 Änderungen ER'!$E$15:$E$289,'F3 Änderungen ER'!$B$15:$B$289,O$7,'F3 Änderungen ER'!$C$15:$C$289,$B43)</f>
        <v>0</v>
      </c>
      <c r="R43" s="681">
        <f>-SUMIFS('F3 Änderungen ER'!$F$15:$F$289,'F3 Änderungen ER'!$B$15:$B$289,O$7,'F3 Änderungen ER'!$C$15:$C$289,$B43)</f>
        <v>0</v>
      </c>
      <c r="S43" s="671">
        <f>-SUMIFS('F3 Änderungen ER'!$G$15:$G$289,'F3 Änderungen ER'!$B$15:$B$289,O$7,'F3 Änderungen ER'!$C$15:$C$289,$B43)</f>
        <v>0</v>
      </c>
      <c r="T43" s="671">
        <f>-SUMIFS('F3 Änderungen ER'!$H$15:$H$289,'F3 Änderungen ER'!$B$15:$B$289,O$7,'F3 Änderungen ER'!$C$15:$C$289,$B43)</f>
        <v>0</v>
      </c>
      <c r="U43" s="671">
        <f>-SUMIFS('F3 Änderungen ER'!$I$15:$I$289,'F3 Änderungen ER'!$B$15:$B$289,O$7,'F3 Änderungen ER'!$C$15:$C$289,$B43)</f>
        <v>0</v>
      </c>
      <c r="W43" s="420"/>
      <c r="X43" s="421"/>
      <c r="Y43" s="670">
        <f>-SUMIFS('F3 Änderungen ER'!$E$15:$E$289,'F3 Änderungen ER'!$B$15:$B$289,W$7,'F3 Änderungen ER'!$C$15:$C$289,$B43)</f>
        <v>0</v>
      </c>
      <c r="Z43" s="681">
        <f>-SUMIFS('F3 Änderungen ER'!$F$15:$F$289,'F3 Änderungen ER'!$B$15:$B$289,W$7,'F3 Änderungen ER'!$C$15:$C$289,$B43)</f>
        <v>0</v>
      </c>
      <c r="AA43" s="671">
        <f>-SUMIFS('F3 Änderungen ER'!$G$15:$G$289,'F3 Änderungen ER'!$B$15:$B$289,W$7,'F3 Änderungen ER'!$C$15:$C$289,$B43)</f>
        <v>0</v>
      </c>
      <c r="AB43" s="671">
        <f>-SUMIFS('F3 Änderungen ER'!$H$15:$H$289,'F3 Änderungen ER'!$B$15:$B$289,W$7,'F3 Änderungen ER'!$C$15:$C$289,$B43)</f>
        <v>0</v>
      </c>
      <c r="AC43" s="671">
        <f>-SUMIFS('F3 Änderungen ER'!$I$15:$I$289,'F3 Änderungen ER'!$B$15:$B$289,W$7,'F3 Änderungen ER'!$C$15:$C$289,$B43)</f>
        <v>0</v>
      </c>
      <c r="AE43" s="420"/>
      <c r="AF43" s="421"/>
      <c r="AG43" s="670">
        <f>-SUMIFS('F3 Änderungen ER'!$E$15:$E$289,'F3 Änderungen ER'!$B$15:$B$289,AE$7,'F3 Änderungen ER'!$C$15:$C$289,$B43)</f>
        <v>0</v>
      </c>
      <c r="AH43" s="681">
        <f>-SUMIFS('F3 Änderungen ER'!$F$15:$F$289,'F3 Änderungen ER'!$B$15:$B$289,AE$7,'F3 Änderungen ER'!$C$15:$C$289,$B43)</f>
        <v>0</v>
      </c>
      <c r="AI43" s="671">
        <f>-SUMIFS('F3 Änderungen ER'!$G$15:$G$289,'F3 Änderungen ER'!$B$15:$B$289,AE$7,'F3 Änderungen ER'!$C$15:$C$289,$B43)</f>
        <v>0</v>
      </c>
      <c r="AJ43" s="671">
        <f>-SUMIFS('F3 Änderungen ER'!$H$15:$H$289,'F3 Änderungen ER'!$B$15:$B$289,AE$7,'F3 Änderungen ER'!$C$15:$C$289,$B43)</f>
        <v>0</v>
      </c>
      <c r="AK43" s="671">
        <f>-SUMIFS('F3 Änderungen ER'!$I$15:$I$289,'F3 Änderungen ER'!$B$15:$B$289,AE$7,'F3 Änderungen ER'!$C$15:$C$289,$B43)</f>
        <v>0</v>
      </c>
      <c r="AM43" s="420"/>
      <c r="AN43" s="421"/>
      <c r="AO43" s="670">
        <f>-SUMIFS('F3 Änderungen ER'!$E$15:$E$289,'F3 Änderungen ER'!$B$15:$B$289,AM$7,'F3 Änderungen ER'!$C$15:$C$289,$B43)</f>
        <v>0</v>
      </c>
      <c r="AP43" s="681">
        <f>-SUMIFS('F3 Änderungen ER'!$F$15:$F$289,'F3 Änderungen ER'!$B$15:$B$289,AM$7,'F3 Änderungen ER'!$C$15:$C$289,$B43)</f>
        <v>0</v>
      </c>
      <c r="AQ43" s="671">
        <f>-SUMIFS('F3 Änderungen ER'!$G$15:$G$289,'F3 Änderungen ER'!$B$15:$B$289,AM$7,'F3 Änderungen ER'!$C$15:$C$289,$B43)</f>
        <v>0</v>
      </c>
      <c r="AR43" s="671">
        <f>-SUMIFS('F3 Änderungen ER'!$H$15:$H$289,'F3 Änderungen ER'!$B$15:$B$289,AM$7,'F3 Änderungen ER'!$C$15:$C$289,$B43)</f>
        <v>0</v>
      </c>
      <c r="AS43" s="671">
        <f>-SUMIFS('F3 Änderungen ER'!$I$15:$I$289,'F3 Änderungen ER'!$B$15:$B$289,AM$7,'F3 Änderungen ER'!$C$15:$C$289,$B43)</f>
        <v>0</v>
      </c>
      <c r="AU43" s="420"/>
      <c r="AV43" s="421"/>
      <c r="AW43" s="670">
        <f>-SUMIFS('F3 Änderungen ER'!$E$15:$E$289,'F3 Änderungen ER'!$B$15:$B$289,AU$7,'F3 Änderungen ER'!$C$15:$C$289,$B43)</f>
        <v>0</v>
      </c>
      <c r="AX43" s="681">
        <f>-SUMIFS('F3 Änderungen ER'!$F$15:$F$289,'F3 Änderungen ER'!$B$15:$B$289,AU$7,'F3 Änderungen ER'!$C$15:$C$289,$B43)</f>
        <v>0</v>
      </c>
      <c r="AY43" s="671">
        <f>-SUMIFS('F3 Änderungen ER'!$G$15:$G$289,'F3 Änderungen ER'!$B$15:$B$289,AU$7,'F3 Änderungen ER'!$C$15:$C$289,$B43)</f>
        <v>0</v>
      </c>
      <c r="AZ43" s="671">
        <f>-SUMIFS('F3 Änderungen ER'!$H$15:$H$289,'F3 Änderungen ER'!$B$15:$B$289,AU$7,'F3 Änderungen ER'!$C$15:$C$289,$B43)</f>
        <v>0</v>
      </c>
      <c r="BA43" s="671">
        <f>-SUMIFS('F3 Änderungen ER'!$I$15:$I$289,'F3 Änderungen ER'!$B$15:$B$289,AU$7,'F3 Änderungen ER'!$C$15:$C$289,$B43)</f>
        <v>0</v>
      </c>
      <c r="BC43" s="420"/>
      <c r="BD43" s="421"/>
      <c r="BE43" s="670">
        <f>-SUMIFS('F3 Änderungen ER'!$E$15:$E$289,'F3 Änderungen ER'!$B$15:$B$289,BC$7,'F3 Änderungen ER'!$C$15:$C$289,$B43)</f>
        <v>0</v>
      </c>
      <c r="BF43" s="681">
        <f>-SUMIFS('F3 Änderungen ER'!$F$15:$F$289,'F3 Änderungen ER'!$B$15:$B$289,BC$7,'F3 Änderungen ER'!$C$15:$C$289,$B43)</f>
        <v>0</v>
      </c>
      <c r="BG43" s="671">
        <f>-SUMIFS('F3 Änderungen ER'!$G$15:$G$289,'F3 Änderungen ER'!$B$15:$B$289,BC$7,'F3 Änderungen ER'!$C$15:$C$289,$B43)</f>
        <v>0</v>
      </c>
      <c r="BH43" s="671">
        <f>-SUMIFS('F3 Änderungen ER'!$H$15:$H$289,'F3 Änderungen ER'!$B$15:$B$289,BC$7,'F3 Änderungen ER'!$C$15:$C$289,$B43)</f>
        <v>0</v>
      </c>
      <c r="BI43" s="671">
        <f>-SUMIFS('F3 Änderungen ER'!$I$15:$I$289,'F3 Änderungen ER'!$B$15:$B$289,BC$7,'F3 Änderungen ER'!$C$15:$C$289,$B43)</f>
        <v>0</v>
      </c>
    </row>
    <row r="44" spans="2:62" ht="11.1" customHeight="1">
      <c r="B44" s="374">
        <v>42</v>
      </c>
      <c r="C44" s="383"/>
      <c r="D44" s="1412" t="s">
        <v>19</v>
      </c>
      <c r="E44" s="1412"/>
      <c r="F44" s="1413"/>
      <c r="G44" s="420"/>
      <c r="H44" s="421"/>
      <c r="I44" s="422">
        <f t="shared" si="25"/>
        <v>0</v>
      </c>
      <c r="J44" s="420">
        <f t="shared" si="26"/>
        <v>0</v>
      </c>
      <c r="K44" s="420">
        <f t="shared" si="27"/>
        <v>0</v>
      </c>
      <c r="L44" s="420">
        <f t="shared" si="28"/>
        <v>0</v>
      </c>
      <c r="M44" s="423">
        <f t="shared" si="29"/>
        <v>0</v>
      </c>
      <c r="N44" s="602" t="str">
        <f t="shared" si="24"/>
        <v/>
      </c>
      <c r="O44" s="420"/>
      <c r="P44" s="421"/>
      <c r="Q44" s="670">
        <f>-SUMIFS('F3 Änderungen ER'!$E$15:$E$289,'F3 Änderungen ER'!$B$15:$B$289,O$7,'F3 Änderungen ER'!$C$15:$C$289,$B44)</f>
        <v>0</v>
      </c>
      <c r="R44" s="681">
        <f>-SUMIFS('F3 Änderungen ER'!$F$15:$F$289,'F3 Änderungen ER'!$B$15:$B$289,O$7,'F3 Änderungen ER'!$C$15:$C$289,$B44)</f>
        <v>0</v>
      </c>
      <c r="S44" s="671">
        <f>-SUMIFS('F3 Änderungen ER'!$G$15:$G$289,'F3 Änderungen ER'!$B$15:$B$289,O$7,'F3 Änderungen ER'!$C$15:$C$289,$B44)</f>
        <v>0</v>
      </c>
      <c r="T44" s="671">
        <f>-SUMIFS('F3 Änderungen ER'!$H$15:$H$289,'F3 Änderungen ER'!$B$15:$B$289,O$7,'F3 Änderungen ER'!$C$15:$C$289,$B44)</f>
        <v>0</v>
      </c>
      <c r="U44" s="671">
        <f>-SUMIFS('F3 Änderungen ER'!$I$15:$I$289,'F3 Änderungen ER'!$B$15:$B$289,O$7,'F3 Änderungen ER'!$C$15:$C$289,$B44)</f>
        <v>0</v>
      </c>
      <c r="W44" s="420"/>
      <c r="X44" s="421"/>
      <c r="Y44" s="670">
        <f>-SUMIFS('F3 Änderungen ER'!$E$15:$E$289,'F3 Änderungen ER'!$B$15:$B$289,W$7,'F3 Änderungen ER'!$C$15:$C$289,$B44)</f>
        <v>0</v>
      </c>
      <c r="Z44" s="681">
        <f>-SUMIFS('F3 Änderungen ER'!$F$15:$F$289,'F3 Änderungen ER'!$B$15:$B$289,W$7,'F3 Änderungen ER'!$C$15:$C$289,$B44)</f>
        <v>0</v>
      </c>
      <c r="AA44" s="671">
        <f>-SUMIFS('F3 Änderungen ER'!$G$15:$G$289,'F3 Änderungen ER'!$B$15:$B$289,W$7,'F3 Änderungen ER'!$C$15:$C$289,$B44)</f>
        <v>0</v>
      </c>
      <c r="AB44" s="671">
        <f>-SUMIFS('F3 Änderungen ER'!$H$15:$H$289,'F3 Änderungen ER'!$B$15:$B$289,W$7,'F3 Änderungen ER'!$C$15:$C$289,$B44)</f>
        <v>0</v>
      </c>
      <c r="AC44" s="671">
        <f>-SUMIFS('F3 Änderungen ER'!$I$15:$I$289,'F3 Änderungen ER'!$B$15:$B$289,W$7,'F3 Änderungen ER'!$C$15:$C$289,$B44)</f>
        <v>0</v>
      </c>
      <c r="AE44" s="420"/>
      <c r="AF44" s="421"/>
      <c r="AG44" s="670">
        <f>-SUMIFS('F3 Änderungen ER'!$E$15:$E$289,'F3 Änderungen ER'!$B$15:$B$289,AE$7,'F3 Änderungen ER'!$C$15:$C$289,$B44)</f>
        <v>0</v>
      </c>
      <c r="AH44" s="681">
        <f>-SUMIFS('F3 Änderungen ER'!$F$15:$F$289,'F3 Änderungen ER'!$B$15:$B$289,AE$7,'F3 Änderungen ER'!$C$15:$C$289,$B44)</f>
        <v>0</v>
      </c>
      <c r="AI44" s="671">
        <f>-SUMIFS('F3 Änderungen ER'!$G$15:$G$289,'F3 Änderungen ER'!$B$15:$B$289,AE$7,'F3 Änderungen ER'!$C$15:$C$289,$B44)</f>
        <v>0</v>
      </c>
      <c r="AJ44" s="671">
        <f>-SUMIFS('F3 Änderungen ER'!$H$15:$H$289,'F3 Änderungen ER'!$B$15:$B$289,AE$7,'F3 Änderungen ER'!$C$15:$C$289,$B44)</f>
        <v>0</v>
      </c>
      <c r="AK44" s="671">
        <f>-SUMIFS('F3 Änderungen ER'!$I$15:$I$289,'F3 Änderungen ER'!$B$15:$B$289,AE$7,'F3 Änderungen ER'!$C$15:$C$289,$B44)</f>
        <v>0</v>
      </c>
      <c r="AM44" s="420"/>
      <c r="AN44" s="421"/>
      <c r="AO44" s="670">
        <f>-SUMIFS('F3 Änderungen ER'!$E$15:$E$289,'F3 Änderungen ER'!$B$15:$B$289,AM$7,'F3 Änderungen ER'!$C$15:$C$289,$B44)</f>
        <v>0</v>
      </c>
      <c r="AP44" s="681">
        <f>-SUMIFS('F3 Änderungen ER'!$F$15:$F$289,'F3 Änderungen ER'!$B$15:$B$289,AM$7,'F3 Änderungen ER'!$C$15:$C$289,$B44)</f>
        <v>0</v>
      </c>
      <c r="AQ44" s="671">
        <f>-SUMIFS('F3 Änderungen ER'!$G$15:$G$289,'F3 Änderungen ER'!$B$15:$B$289,AM$7,'F3 Änderungen ER'!$C$15:$C$289,$B44)</f>
        <v>0</v>
      </c>
      <c r="AR44" s="671">
        <f>-SUMIFS('F3 Änderungen ER'!$H$15:$H$289,'F3 Änderungen ER'!$B$15:$B$289,AM$7,'F3 Änderungen ER'!$C$15:$C$289,$B44)</f>
        <v>0</v>
      </c>
      <c r="AS44" s="671">
        <f>-SUMIFS('F3 Änderungen ER'!$I$15:$I$289,'F3 Änderungen ER'!$B$15:$B$289,AM$7,'F3 Änderungen ER'!$C$15:$C$289,$B44)</f>
        <v>0</v>
      </c>
      <c r="AU44" s="420"/>
      <c r="AV44" s="421"/>
      <c r="AW44" s="670">
        <f>-SUMIFS('F3 Änderungen ER'!$E$15:$E$289,'F3 Änderungen ER'!$B$15:$B$289,AU$7,'F3 Änderungen ER'!$C$15:$C$289,$B44)</f>
        <v>0</v>
      </c>
      <c r="AX44" s="681">
        <f>-SUMIFS('F3 Änderungen ER'!$F$15:$F$289,'F3 Änderungen ER'!$B$15:$B$289,AU$7,'F3 Änderungen ER'!$C$15:$C$289,$B44)</f>
        <v>0</v>
      </c>
      <c r="AY44" s="671">
        <f>-SUMIFS('F3 Änderungen ER'!$G$15:$G$289,'F3 Änderungen ER'!$B$15:$B$289,AU$7,'F3 Änderungen ER'!$C$15:$C$289,$B44)</f>
        <v>0</v>
      </c>
      <c r="AZ44" s="671">
        <f>-SUMIFS('F3 Änderungen ER'!$H$15:$H$289,'F3 Änderungen ER'!$B$15:$B$289,AU$7,'F3 Änderungen ER'!$C$15:$C$289,$B44)</f>
        <v>0</v>
      </c>
      <c r="BA44" s="671">
        <f>-SUMIFS('F3 Änderungen ER'!$I$15:$I$289,'F3 Änderungen ER'!$B$15:$B$289,AU$7,'F3 Änderungen ER'!$C$15:$C$289,$B44)</f>
        <v>0</v>
      </c>
      <c r="BC44" s="420"/>
      <c r="BD44" s="421"/>
      <c r="BE44" s="670">
        <f>-SUMIFS('F3 Änderungen ER'!$E$15:$E$289,'F3 Änderungen ER'!$B$15:$B$289,BC$7,'F3 Änderungen ER'!$C$15:$C$289,$B44)</f>
        <v>0</v>
      </c>
      <c r="BF44" s="681">
        <f>-SUMIFS('F3 Änderungen ER'!$F$15:$F$289,'F3 Änderungen ER'!$B$15:$B$289,BC$7,'F3 Änderungen ER'!$C$15:$C$289,$B44)</f>
        <v>0</v>
      </c>
      <c r="BG44" s="671">
        <f>-SUMIFS('F3 Änderungen ER'!$G$15:$G$289,'F3 Änderungen ER'!$B$15:$B$289,BC$7,'F3 Änderungen ER'!$C$15:$C$289,$B44)</f>
        <v>0</v>
      </c>
      <c r="BH44" s="671">
        <f>-SUMIFS('F3 Änderungen ER'!$H$15:$H$289,'F3 Änderungen ER'!$B$15:$B$289,BC$7,'F3 Änderungen ER'!$C$15:$C$289,$B44)</f>
        <v>0</v>
      </c>
      <c r="BI44" s="671">
        <f>-SUMIFS('F3 Änderungen ER'!$I$15:$I$289,'F3 Änderungen ER'!$B$15:$B$289,BC$7,'F3 Änderungen ER'!$C$15:$C$289,$B44)</f>
        <v>0</v>
      </c>
    </row>
    <row r="45" spans="2:62" ht="11.1" customHeight="1">
      <c r="B45" s="374">
        <v>43</v>
      </c>
      <c r="C45" s="383"/>
      <c r="D45" s="1412" t="s">
        <v>94</v>
      </c>
      <c r="E45" s="1412"/>
      <c r="F45" s="1413"/>
      <c r="G45" s="420"/>
      <c r="H45" s="421"/>
      <c r="I45" s="422">
        <f t="shared" si="25"/>
        <v>0</v>
      </c>
      <c r="J45" s="420">
        <f t="shared" si="26"/>
        <v>0</v>
      </c>
      <c r="K45" s="420">
        <f t="shared" si="27"/>
        <v>0</v>
      </c>
      <c r="L45" s="420">
        <f t="shared" si="28"/>
        <v>0</v>
      </c>
      <c r="M45" s="423">
        <f t="shared" si="29"/>
        <v>0</v>
      </c>
      <c r="N45" s="602" t="str">
        <f t="shared" si="24"/>
        <v/>
      </c>
      <c r="O45" s="420"/>
      <c r="P45" s="421"/>
      <c r="Q45" s="670">
        <f>-SUMIFS('F3 Änderungen ER'!$E$15:$E$289,'F3 Änderungen ER'!$B$15:$B$289,O$7,'F3 Änderungen ER'!$C$15:$C$289,$B45)</f>
        <v>0</v>
      </c>
      <c r="R45" s="681">
        <f>-SUMIFS('F3 Änderungen ER'!$F$15:$F$289,'F3 Änderungen ER'!$B$15:$B$289,O$7,'F3 Änderungen ER'!$C$15:$C$289,$B45)</f>
        <v>0</v>
      </c>
      <c r="S45" s="671">
        <f>-SUMIFS('F3 Änderungen ER'!$G$15:$G$289,'F3 Änderungen ER'!$B$15:$B$289,O$7,'F3 Änderungen ER'!$C$15:$C$289,$B45)</f>
        <v>0</v>
      </c>
      <c r="T45" s="671">
        <f>-SUMIFS('F3 Änderungen ER'!$H$15:$H$289,'F3 Änderungen ER'!$B$15:$B$289,O$7,'F3 Änderungen ER'!$C$15:$C$289,$B45)</f>
        <v>0</v>
      </c>
      <c r="U45" s="671">
        <f>-SUMIFS('F3 Änderungen ER'!$I$15:$I$289,'F3 Änderungen ER'!$B$15:$B$289,O$7,'F3 Änderungen ER'!$C$15:$C$289,$B45)</f>
        <v>0</v>
      </c>
      <c r="W45" s="420"/>
      <c r="X45" s="421"/>
      <c r="Y45" s="670">
        <f>-SUMIFS('F3 Änderungen ER'!$E$15:$E$289,'F3 Änderungen ER'!$B$15:$B$289,W$7,'F3 Änderungen ER'!$C$15:$C$289,$B45)</f>
        <v>0</v>
      </c>
      <c r="Z45" s="681">
        <f>-SUMIFS('F3 Änderungen ER'!$F$15:$F$289,'F3 Änderungen ER'!$B$15:$B$289,W$7,'F3 Änderungen ER'!$C$15:$C$289,$B45)</f>
        <v>0</v>
      </c>
      <c r="AA45" s="671">
        <f>-SUMIFS('F3 Änderungen ER'!$G$15:$G$289,'F3 Änderungen ER'!$B$15:$B$289,W$7,'F3 Änderungen ER'!$C$15:$C$289,$B45)</f>
        <v>0</v>
      </c>
      <c r="AB45" s="671">
        <f>-SUMIFS('F3 Änderungen ER'!$H$15:$H$289,'F3 Änderungen ER'!$B$15:$B$289,W$7,'F3 Änderungen ER'!$C$15:$C$289,$B45)</f>
        <v>0</v>
      </c>
      <c r="AC45" s="671">
        <f>-SUMIFS('F3 Änderungen ER'!$I$15:$I$289,'F3 Änderungen ER'!$B$15:$B$289,W$7,'F3 Änderungen ER'!$C$15:$C$289,$B45)</f>
        <v>0</v>
      </c>
      <c r="AE45" s="420"/>
      <c r="AF45" s="421"/>
      <c r="AG45" s="670">
        <f>-SUMIFS('F3 Änderungen ER'!$E$15:$E$289,'F3 Änderungen ER'!$B$15:$B$289,AE$7,'F3 Änderungen ER'!$C$15:$C$289,$B45)</f>
        <v>0</v>
      </c>
      <c r="AH45" s="681">
        <f>-SUMIFS('F3 Änderungen ER'!$F$15:$F$289,'F3 Änderungen ER'!$B$15:$B$289,AE$7,'F3 Änderungen ER'!$C$15:$C$289,$B45)</f>
        <v>0</v>
      </c>
      <c r="AI45" s="671">
        <f>-SUMIFS('F3 Änderungen ER'!$G$15:$G$289,'F3 Änderungen ER'!$B$15:$B$289,AE$7,'F3 Änderungen ER'!$C$15:$C$289,$B45)</f>
        <v>0</v>
      </c>
      <c r="AJ45" s="671">
        <f>-SUMIFS('F3 Änderungen ER'!$H$15:$H$289,'F3 Änderungen ER'!$B$15:$B$289,AE$7,'F3 Änderungen ER'!$C$15:$C$289,$B45)</f>
        <v>0</v>
      </c>
      <c r="AK45" s="671">
        <f>-SUMIFS('F3 Änderungen ER'!$I$15:$I$289,'F3 Änderungen ER'!$B$15:$B$289,AE$7,'F3 Änderungen ER'!$C$15:$C$289,$B45)</f>
        <v>0</v>
      </c>
      <c r="AM45" s="420"/>
      <c r="AN45" s="421"/>
      <c r="AO45" s="670">
        <f>-SUMIFS('F3 Änderungen ER'!$E$15:$E$289,'F3 Änderungen ER'!$B$15:$B$289,AM$7,'F3 Änderungen ER'!$C$15:$C$289,$B45)</f>
        <v>0</v>
      </c>
      <c r="AP45" s="681">
        <f>-SUMIFS('F3 Änderungen ER'!$F$15:$F$289,'F3 Änderungen ER'!$B$15:$B$289,AM$7,'F3 Änderungen ER'!$C$15:$C$289,$B45)</f>
        <v>0</v>
      </c>
      <c r="AQ45" s="671">
        <f>-SUMIFS('F3 Änderungen ER'!$G$15:$G$289,'F3 Änderungen ER'!$B$15:$B$289,AM$7,'F3 Änderungen ER'!$C$15:$C$289,$B45)</f>
        <v>0</v>
      </c>
      <c r="AR45" s="671">
        <f>-SUMIFS('F3 Änderungen ER'!$H$15:$H$289,'F3 Änderungen ER'!$B$15:$B$289,AM$7,'F3 Änderungen ER'!$C$15:$C$289,$B45)</f>
        <v>0</v>
      </c>
      <c r="AS45" s="671">
        <f>-SUMIFS('F3 Änderungen ER'!$I$15:$I$289,'F3 Änderungen ER'!$B$15:$B$289,AM$7,'F3 Änderungen ER'!$C$15:$C$289,$B45)</f>
        <v>0</v>
      </c>
      <c r="AU45" s="420"/>
      <c r="AV45" s="421"/>
      <c r="AW45" s="670">
        <f>-SUMIFS('F3 Änderungen ER'!$E$15:$E$289,'F3 Änderungen ER'!$B$15:$B$289,AU$7,'F3 Änderungen ER'!$C$15:$C$289,$B45)</f>
        <v>0</v>
      </c>
      <c r="AX45" s="681">
        <f>-SUMIFS('F3 Änderungen ER'!$F$15:$F$289,'F3 Änderungen ER'!$B$15:$B$289,AU$7,'F3 Änderungen ER'!$C$15:$C$289,$B45)</f>
        <v>0</v>
      </c>
      <c r="AY45" s="671">
        <f>-SUMIFS('F3 Änderungen ER'!$G$15:$G$289,'F3 Änderungen ER'!$B$15:$B$289,AU$7,'F3 Änderungen ER'!$C$15:$C$289,$B45)</f>
        <v>0</v>
      </c>
      <c r="AZ45" s="671">
        <f>-SUMIFS('F3 Änderungen ER'!$H$15:$H$289,'F3 Änderungen ER'!$B$15:$B$289,AU$7,'F3 Änderungen ER'!$C$15:$C$289,$B45)</f>
        <v>0</v>
      </c>
      <c r="BA45" s="671">
        <f>-SUMIFS('F3 Änderungen ER'!$I$15:$I$289,'F3 Änderungen ER'!$B$15:$B$289,AU$7,'F3 Änderungen ER'!$C$15:$C$289,$B45)</f>
        <v>0</v>
      </c>
      <c r="BC45" s="420"/>
      <c r="BD45" s="421"/>
      <c r="BE45" s="670">
        <f>-SUMIFS('F3 Änderungen ER'!$E$15:$E$289,'F3 Änderungen ER'!$B$15:$B$289,BC$7,'F3 Änderungen ER'!$C$15:$C$289,$B45)</f>
        <v>0</v>
      </c>
      <c r="BF45" s="681">
        <f>-SUMIFS('F3 Änderungen ER'!$F$15:$F$289,'F3 Änderungen ER'!$B$15:$B$289,BC$7,'F3 Änderungen ER'!$C$15:$C$289,$B45)</f>
        <v>0</v>
      </c>
      <c r="BG45" s="671">
        <f>-SUMIFS('F3 Änderungen ER'!$G$15:$G$289,'F3 Änderungen ER'!$B$15:$B$289,BC$7,'F3 Änderungen ER'!$C$15:$C$289,$B45)</f>
        <v>0</v>
      </c>
      <c r="BH45" s="671">
        <f>-SUMIFS('F3 Änderungen ER'!$H$15:$H$289,'F3 Änderungen ER'!$B$15:$B$289,BC$7,'F3 Änderungen ER'!$C$15:$C$289,$B45)</f>
        <v>0</v>
      </c>
      <c r="BI45" s="671">
        <f>-SUMIFS('F3 Änderungen ER'!$I$15:$I$289,'F3 Änderungen ER'!$B$15:$B$289,BC$7,'F3 Änderungen ER'!$C$15:$C$289,$B45)</f>
        <v>0</v>
      </c>
    </row>
    <row r="46" spans="2:62" s="660" customFormat="1" ht="11.1" customHeight="1">
      <c r="B46" s="661">
        <v>44</v>
      </c>
      <c r="C46" s="667"/>
      <c r="D46" s="1428" t="s">
        <v>95</v>
      </c>
      <c r="E46" s="1428"/>
      <c r="F46" s="1429"/>
      <c r="G46" s="420"/>
      <c r="H46" s="421"/>
      <c r="I46" s="422">
        <f t="shared" si="25"/>
        <v>0</v>
      </c>
      <c r="J46" s="420">
        <f t="shared" si="26"/>
        <v>0</v>
      </c>
      <c r="K46" s="420">
        <f t="shared" si="27"/>
        <v>0</v>
      </c>
      <c r="L46" s="420">
        <f t="shared" si="28"/>
        <v>0</v>
      </c>
      <c r="M46" s="423">
        <f t="shared" si="29"/>
        <v>0</v>
      </c>
      <c r="N46" s="602" t="str">
        <f t="shared" si="24"/>
        <v/>
      </c>
      <c r="O46" s="420"/>
      <c r="P46" s="421"/>
      <c r="Q46" s="670">
        <f>-SUMIFS('F3 Änderungen ER'!$E$15:$E$289,'F3 Änderungen ER'!$B$15:$B$289,O$7,'F3 Änderungen ER'!$C$15:$C$289,$B46)</f>
        <v>0</v>
      </c>
      <c r="R46" s="681">
        <f>-SUMIFS('F3 Änderungen ER'!$F$15:$F$289,'F3 Änderungen ER'!$B$15:$B$289,O$7,'F3 Änderungen ER'!$C$15:$C$289,$B46)</f>
        <v>0</v>
      </c>
      <c r="S46" s="671">
        <f>-SUMIFS('F3 Änderungen ER'!$G$15:$G$289,'F3 Änderungen ER'!$B$15:$B$289,O$7,'F3 Änderungen ER'!$C$15:$C$289,$B46)</f>
        <v>0</v>
      </c>
      <c r="T46" s="671">
        <f>-SUMIFS('F3 Änderungen ER'!$H$15:$H$289,'F3 Änderungen ER'!$B$15:$B$289,O$7,'F3 Änderungen ER'!$C$15:$C$289,$B46)</f>
        <v>0</v>
      </c>
      <c r="U46" s="671">
        <f>-SUMIFS('F3 Änderungen ER'!$I$15:$I$289,'F3 Änderungen ER'!$B$15:$B$289,O$7,'F3 Änderungen ER'!$C$15:$C$289,$B46)</f>
        <v>0</v>
      </c>
      <c r="W46" s="420"/>
      <c r="X46" s="421"/>
      <c r="Y46" s="670">
        <f>-SUMIFS('F3 Änderungen ER'!$E$15:$E$289,'F3 Änderungen ER'!$B$15:$B$289,W$7,'F3 Änderungen ER'!$C$15:$C$289,$B46)</f>
        <v>0</v>
      </c>
      <c r="Z46" s="681">
        <f>-SUMIFS('F3 Änderungen ER'!$F$15:$F$289,'F3 Änderungen ER'!$B$15:$B$289,W$7,'F3 Änderungen ER'!$C$15:$C$289,$B46)</f>
        <v>0</v>
      </c>
      <c r="AA46" s="671">
        <f>-SUMIFS('F3 Änderungen ER'!$G$15:$G$289,'F3 Änderungen ER'!$B$15:$B$289,W$7,'F3 Änderungen ER'!$C$15:$C$289,$B46)</f>
        <v>0</v>
      </c>
      <c r="AB46" s="671">
        <f>-SUMIFS('F3 Änderungen ER'!$H$15:$H$289,'F3 Änderungen ER'!$B$15:$B$289,W$7,'F3 Änderungen ER'!$C$15:$C$289,$B46)</f>
        <v>0</v>
      </c>
      <c r="AC46" s="671">
        <f>-SUMIFS('F3 Änderungen ER'!$I$15:$I$289,'F3 Änderungen ER'!$B$15:$B$289,W$7,'F3 Änderungen ER'!$C$15:$C$289,$B46)</f>
        <v>0</v>
      </c>
      <c r="AE46" s="420"/>
      <c r="AF46" s="421"/>
      <c r="AG46" s="670">
        <f>-SUMIFS('F3 Änderungen ER'!$E$15:$E$289,'F3 Änderungen ER'!$B$15:$B$289,AE$7,'F3 Änderungen ER'!$C$15:$C$289,$B46)</f>
        <v>0</v>
      </c>
      <c r="AH46" s="681">
        <f>-SUMIFS('F3 Änderungen ER'!$F$15:$F$289,'F3 Änderungen ER'!$B$15:$B$289,AE$7,'F3 Änderungen ER'!$C$15:$C$289,$B46)</f>
        <v>0</v>
      </c>
      <c r="AI46" s="671">
        <f>-SUMIFS('F3 Änderungen ER'!$G$15:$G$289,'F3 Änderungen ER'!$B$15:$B$289,AE$7,'F3 Änderungen ER'!$C$15:$C$289,$B46)</f>
        <v>0</v>
      </c>
      <c r="AJ46" s="671">
        <f>-SUMIFS('F3 Änderungen ER'!$H$15:$H$289,'F3 Änderungen ER'!$B$15:$B$289,AE$7,'F3 Änderungen ER'!$C$15:$C$289,$B46)</f>
        <v>0</v>
      </c>
      <c r="AK46" s="671">
        <f>-SUMIFS('F3 Änderungen ER'!$I$15:$I$289,'F3 Änderungen ER'!$B$15:$B$289,AE$7,'F3 Änderungen ER'!$C$15:$C$289,$B46)</f>
        <v>0</v>
      </c>
      <c r="AM46" s="420"/>
      <c r="AN46" s="421"/>
      <c r="AO46" s="670">
        <f>-SUMIFS('F3 Änderungen ER'!$E$15:$E$289,'F3 Änderungen ER'!$B$15:$B$289,AM$7,'F3 Änderungen ER'!$C$15:$C$289,$B46)</f>
        <v>0</v>
      </c>
      <c r="AP46" s="681">
        <f>-SUMIFS('F3 Änderungen ER'!$F$15:$F$289,'F3 Änderungen ER'!$B$15:$B$289,AM$7,'F3 Änderungen ER'!$C$15:$C$289,$B46)</f>
        <v>0</v>
      </c>
      <c r="AQ46" s="671">
        <f>-SUMIFS('F3 Änderungen ER'!$G$15:$G$289,'F3 Änderungen ER'!$B$15:$B$289,AM$7,'F3 Änderungen ER'!$C$15:$C$289,$B46)</f>
        <v>0</v>
      </c>
      <c r="AR46" s="671">
        <f>-SUMIFS('F3 Änderungen ER'!$H$15:$H$289,'F3 Änderungen ER'!$B$15:$B$289,AM$7,'F3 Änderungen ER'!$C$15:$C$289,$B46)</f>
        <v>0</v>
      </c>
      <c r="AS46" s="671">
        <f>-SUMIFS('F3 Änderungen ER'!$I$15:$I$289,'F3 Änderungen ER'!$B$15:$B$289,AM$7,'F3 Änderungen ER'!$C$15:$C$289,$B46)</f>
        <v>0</v>
      </c>
      <c r="AU46" s="420"/>
      <c r="AV46" s="421"/>
      <c r="AW46" s="670">
        <f>-SUMIFS('F3 Änderungen ER'!$E$15:$E$289,'F3 Änderungen ER'!$B$15:$B$289,AU$7,'F3 Änderungen ER'!$C$15:$C$289,$B46)</f>
        <v>0</v>
      </c>
      <c r="AX46" s="681">
        <f>-SUMIFS('F3 Änderungen ER'!$F$15:$F$289,'F3 Änderungen ER'!$B$15:$B$289,AU$7,'F3 Änderungen ER'!$C$15:$C$289,$B46)</f>
        <v>0</v>
      </c>
      <c r="AY46" s="671">
        <f>-SUMIFS('F3 Änderungen ER'!$G$15:$G$289,'F3 Änderungen ER'!$B$15:$B$289,AU$7,'F3 Änderungen ER'!$C$15:$C$289,$B46)</f>
        <v>0</v>
      </c>
      <c r="AZ46" s="671">
        <f>-SUMIFS('F3 Änderungen ER'!$H$15:$H$289,'F3 Änderungen ER'!$B$15:$B$289,AU$7,'F3 Änderungen ER'!$C$15:$C$289,$B46)</f>
        <v>0</v>
      </c>
      <c r="BA46" s="671">
        <f>-SUMIFS('F3 Änderungen ER'!$I$15:$I$289,'F3 Änderungen ER'!$B$15:$B$289,AU$7,'F3 Änderungen ER'!$C$15:$C$289,$B46)</f>
        <v>0</v>
      </c>
      <c r="BC46" s="420"/>
      <c r="BD46" s="421"/>
      <c r="BE46" s="670">
        <f>-SUMIFS('F3 Änderungen ER'!$E$15:$E$289,'F3 Änderungen ER'!$B$15:$B$289,BC$7,'F3 Änderungen ER'!$C$15:$C$289,$B46)</f>
        <v>0</v>
      </c>
      <c r="BF46" s="681">
        <f>-SUMIFS('F3 Änderungen ER'!$F$15:$F$289,'F3 Änderungen ER'!$B$15:$B$289,BC$7,'F3 Änderungen ER'!$C$15:$C$289,$B46)</f>
        <v>0</v>
      </c>
      <c r="BG46" s="671">
        <f>-SUMIFS('F3 Änderungen ER'!$G$15:$G$289,'F3 Änderungen ER'!$B$15:$B$289,BC$7,'F3 Änderungen ER'!$C$15:$C$289,$B46)</f>
        <v>0</v>
      </c>
      <c r="BH46" s="671">
        <f>-SUMIFS('F3 Änderungen ER'!$H$15:$H$289,'F3 Änderungen ER'!$B$15:$B$289,BC$7,'F3 Änderungen ER'!$C$15:$C$289,$B46)</f>
        <v>0</v>
      </c>
      <c r="BI46" s="671">
        <f>-SUMIFS('F3 Änderungen ER'!$I$15:$I$289,'F3 Änderungen ER'!$B$15:$B$289,BC$7,'F3 Änderungen ER'!$C$15:$C$289,$B46)</f>
        <v>0</v>
      </c>
    </row>
    <row r="47" spans="2:62" s="660" customFormat="1" ht="11.1" customHeight="1">
      <c r="B47" s="661"/>
      <c r="C47" s="662">
        <v>440</v>
      </c>
      <c r="D47" s="663" t="s">
        <v>358</v>
      </c>
      <c r="E47" s="663"/>
      <c r="F47" s="1260"/>
      <c r="G47" s="420"/>
      <c r="H47" s="421"/>
      <c r="I47" s="648">
        <f t="shared" si="25"/>
        <v>0</v>
      </c>
      <c r="J47" s="649">
        <f t="shared" si="26"/>
        <v>0</v>
      </c>
      <c r="K47" s="649">
        <f t="shared" si="27"/>
        <v>0</v>
      </c>
      <c r="L47" s="649">
        <f t="shared" si="28"/>
        <v>0</v>
      </c>
      <c r="M47" s="595">
        <f t="shared" si="29"/>
        <v>0</v>
      </c>
      <c r="N47" s="602"/>
      <c r="O47" s="420"/>
      <c r="P47" s="421"/>
      <c r="Q47" s="648">
        <f>-SUMIFS('F3 Änderungen ER'!$E$15:$E$289,'F3 Änderungen ER'!$B$15:$B$289,O$7,'F3 Änderungen ER'!$C$15:$C$289,$C47)</f>
        <v>0</v>
      </c>
      <c r="R47" s="649">
        <f>-SUMIFS('F3 Änderungen ER'!$F$15:$F$289,'F3 Änderungen ER'!$B$15:$B$289,O$7,'F3 Änderungen ER'!$C$15:$C$289,$C47)</f>
        <v>0</v>
      </c>
      <c r="S47" s="649">
        <f>-SUMIFS('F3 Änderungen ER'!$G$15:$G$289,'F3 Änderungen ER'!$B$15:$B$289,O$7,'F3 Änderungen ER'!$C$15:$C$289,$C47)</f>
        <v>0</v>
      </c>
      <c r="T47" s="649">
        <f>-SUMIFS('F3 Änderungen ER'!$H$15:$H$289,'F3 Änderungen ER'!$B$15:$B$289,O$7,'F3 Änderungen ER'!$C$15:$C$289,$C47)</f>
        <v>0</v>
      </c>
      <c r="U47" s="595">
        <f>-SUMIFS('F3 Änderungen ER'!$I$15:$I$289,'F3 Änderungen ER'!$B$15:$B$289,O$7,'F3 Änderungen ER'!$C$15:$C$289,$C47)</f>
        <v>0</v>
      </c>
      <c r="V47" s="665"/>
      <c r="W47" s="646"/>
      <c r="X47" s="647"/>
      <c r="Y47" s="648">
        <f>-SUMIFS('F3 Änderungen ER'!$E$15:$E$289,'F3 Änderungen ER'!$B$15:$B$289,W$7,'F3 Änderungen ER'!$C$15:$C$289,$C47)</f>
        <v>0</v>
      </c>
      <c r="Z47" s="649">
        <f>-SUMIFS('F3 Änderungen ER'!$F$15:$F$289,'F3 Änderungen ER'!$B$15:$B$289,W$7,'F3 Änderungen ER'!$C$15:$C$289,$C47)</f>
        <v>0</v>
      </c>
      <c r="AA47" s="649">
        <f>-SUMIFS('F3 Änderungen ER'!$G$15:$G$289,'F3 Änderungen ER'!$B$15:$B$289,W$7,'F3 Änderungen ER'!$C$15:$C$289,$C47)</f>
        <v>0</v>
      </c>
      <c r="AB47" s="649">
        <f>-SUMIFS('F3 Änderungen ER'!$H$15:$H$289,'F3 Änderungen ER'!$B$15:$B$289,W$7,'F3 Änderungen ER'!$C$15:$C$289,$C47)</f>
        <v>0</v>
      </c>
      <c r="AC47" s="595">
        <f>-SUMIFS('F3 Änderungen ER'!$I$15:$I$289,'F3 Änderungen ER'!$B$15:$B$289,W$7,'F3 Änderungen ER'!$C$15:$C$289,$C47)</f>
        <v>0</v>
      </c>
      <c r="AD47" s="665"/>
      <c r="AE47" s="646"/>
      <c r="AF47" s="647"/>
      <c r="AG47" s="648">
        <f>-SUMIFS('F3 Änderungen ER'!$E$15:$E$289,'F3 Änderungen ER'!$B$15:$B$289,AE$7,'F3 Änderungen ER'!$C$15:$C$289,$C47)</f>
        <v>0</v>
      </c>
      <c r="AH47" s="649">
        <f>-SUMIFS('F3 Änderungen ER'!$F$15:$F$289,'F3 Änderungen ER'!$B$15:$B$289,AE$7,'F3 Änderungen ER'!$C$15:$C$289,$C47)</f>
        <v>0</v>
      </c>
      <c r="AI47" s="649">
        <f>-SUMIFS('F3 Änderungen ER'!$G$15:$G$289,'F3 Änderungen ER'!$B$15:$B$289,AE$7,'F3 Änderungen ER'!$C$15:$C$289,$C47)</f>
        <v>0</v>
      </c>
      <c r="AJ47" s="649">
        <f>-SUMIFS('F3 Änderungen ER'!$H$15:$H$289,'F3 Änderungen ER'!$B$15:$B$289,AE$7,'F3 Änderungen ER'!$C$15:$C$289,$C47)</f>
        <v>0</v>
      </c>
      <c r="AK47" s="595">
        <f>-SUMIFS('F3 Änderungen ER'!$I$15:$I$289,'F3 Änderungen ER'!$B$15:$B$289,AE$7,'F3 Änderungen ER'!$C$15:$C$289,$C47)</f>
        <v>0</v>
      </c>
      <c r="AL47" s="665"/>
      <c r="AM47" s="646"/>
      <c r="AN47" s="647"/>
      <c r="AO47" s="648">
        <f>-SUMIFS('F3 Änderungen ER'!$E$15:$E$289,'F3 Änderungen ER'!$B$15:$B$289,AM$7,'F3 Änderungen ER'!$C$15:$C$289,$C47)</f>
        <v>0</v>
      </c>
      <c r="AP47" s="649">
        <f>-SUMIFS('F3 Änderungen ER'!$F$15:$F$289,'F3 Änderungen ER'!$B$15:$B$289,AM$7,'F3 Änderungen ER'!$C$15:$C$289,$C47)</f>
        <v>0</v>
      </c>
      <c r="AQ47" s="649">
        <f>-SUMIFS('F3 Änderungen ER'!$G$15:$G$289,'F3 Änderungen ER'!$B$15:$B$289,AM$7,'F3 Änderungen ER'!$C$15:$C$289,$C47)</f>
        <v>0</v>
      </c>
      <c r="AR47" s="649">
        <f>-SUMIFS('F3 Änderungen ER'!$H$15:$H$289,'F3 Änderungen ER'!$B$15:$B$289,AM$7,'F3 Änderungen ER'!$C$15:$C$289,$C47)</f>
        <v>0</v>
      </c>
      <c r="AS47" s="595">
        <f>-SUMIFS('F3 Änderungen ER'!$I$15:$I$289,'F3 Änderungen ER'!$B$15:$B$289,AM$7,'F3 Änderungen ER'!$C$15:$C$289,$C47)</f>
        <v>0</v>
      </c>
      <c r="AT47" s="665"/>
      <c r="AU47" s="646"/>
      <c r="AV47" s="647"/>
      <c r="AW47" s="648">
        <f>-SUMIFS('F3 Änderungen ER'!$E$15:$E$289,'F3 Änderungen ER'!$B$15:$B$289,AU$7,'F3 Änderungen ER'!$C$15:$C$289,$C47)</f>
        <v>0</v>
      </c>
      <c r="AX47" s="649">
        <f>-SUMIFS('F3 Änderungen ER'!$F$15:$F$289,'F3 Änderungen ER'!$B$15:$B$289,AU$7,'F3 Änderungen ER'!$C$15:$C$289,$C47)</f>
        <v>0</v>
      </c>
      <c r="AY47" s="649">
        <f>-SUMIFS('F3 Änderungen ER'!$G$15:$G$289,'F3 Änderungen ER'!$B$15:$B$289,AU$7,'F3 Änderungen ER'!$C$15:$C$289,$C47)</f>
        <v>0</v>
      </c>
      <c r="AZ47" s="649">
        <f>-SUMIFS('F3 Änderungen ER'!$H$15:$H$289,'F3 Änderungen ER'!$B$15:$B$289,AU$7,'F3 Änderungen ER'!$C$15:$C$289,$C47)</f>
        <v>0</v>
      </c>
      <c r="BA47" s="595">
        <f>-SUMIFS('F3 Änderungen ER'!$I$15:$I$289,'F3 Änderungen ER'!$B$15:$B$289,AU$7,'F3 Änderungen ER'!$C$15:$C$289,$C47)</f>
        <v>0</v>
      </c>
      <c r="BB47" s="665"/>
      <c r="BC47" s="646"/>
      <c r="BD47" s="647"/>
      <c r="BE47" s="648">
        <f>-SUMIFS('F3 Änderungen ER'!$E$15:$E$289,'F3 Änderungen ER'!$B$15:$B$289,BC$7,'F3 Änderungen ER'!$C$15:$C$289,$C47)</f>
        <v>0</v>
      </c>
      <c r="BF47" s="649">
        <f>-SUMIFS('F3 Änderungen ER'!$F$15:$F$289,'F3 Änderungen ER'!$B$15:$B$289,BC$7,'F3 Änderungen ER'!$C$15:$C$289,$C47)</f>
        <v>0</v>
      </c>
      <c r="BG47" s="649">
        <f>-SUMIFS('F3 Änderungen ER'!$G$15:$G$289,'F3 Änderungen ER'!$B$15:$B$289,BC$7,'F3 Änderungen ER'!$C$15:$C$289,$C47)</f>
        <v>0</v>
      </c>
      <c r="BH47" s="649">
        <f>-SUMIFS('F3 Änderungen ER'!$H$15:$H$289,'F3 Änderungen ER'!$B$15:$B$289,BC$7,'F3 Änderungen ER'!$C$15:$C$289,$C47)</f>
        <v>0</v>
      </c>
      <c r="BI47" s="595">
        <f>-SUMIFS('F3 Änderungen ER'!$I$15:$I$289,'F3 Änderungen ER'!$B$15:$B$289,BC$7,'F3 Änderungen ER'!$C$15:$C$289,$C47)</f>
        <v>0</v>
      </c>
      <c r="BJ47" s="665"/>
    </row>
    <row r="48" spans="2:62" ht="11.1" customHeight="1">
      <c r="B48" s="374"/>
      <c r="C48" s="603">
        <v>441</v>
      </c>
      <c r="D48" s="635" t="s">
        <v>211</v>
      </c>
      <c r="E48" s="635"/>
      <c r="F48" s="636"/>
      <c r="G48" s="646"/>
      <c r="H48" s="647"/>
      <c r="I48" s="648">
        <f t="shared" si="25"/>
        <v>0</v>
      </c>
      <c r="J48" s="649">
        <f t="shared" si="26"/>
        <v>0</v>
      </c>
      <c r="K48" s="649">
        <f t="shared" si="27"/>
        <v>0</v>
      </c>
      <c r="L48" s="649">
        <f t="shared" si="28"/>
        <v>0</v>
      </c>
      <c r="M48" s="595">
        <f t="shared" si="29"/>
        <v>0</v>
      </c>
      <c r="N48" s="602" t="str">
        <f t="shared" ref="N48:N61" si="30">IF(SUM(G48:M48)=SUM(O48:YQ48),"",SUM(O48:YQ48)-SUM(G48:M48))</f>
        <v/>
      </c>
      <c r="O48" s="646"/>
      <c r="P48" s="647"/>
      <c r="Q48" s="648">
        <f>-SUMIFS('F3 Änderungen ER'!$E$15:$E$289,'F3 Änderungen ER'!$B$15:$B$289,O$7,'F3 Änderungen ER'!$C$15:$C$289,$C48)</f>
        <v>0</v>
      </c>
      <c r="R48" s="649">
        <f>-SUMIFS('F3 Änderungen ER'!$F$15:$F$289,'F3 Änderungen ER'!$B$15:$B$289,O$7,'F3 Änderungen ER'!$C$15:$C$289,$C48)</f>
        <v>0</v>
      </c>
      <c r="S48" s="649">
        <f>-SUMIFS('F3 Änderungen ER'!$G$15:$G$289,'F3 Änderungen ER'!$B$15:$B$289,O$7,'F3 Änderungen ER'!$C$15:$C$289,$C48)</f>
        <v>0</v>
      </c>
      <c r="T48" s="649">
        <f>-SUMIFS('F3 Änderungen ER'!$H$15:$H$289,'F3 Änderungen ER'!$B$15:$B$289,O$7,'F3 Änderungen ER'!$C$15:$C$289,$C48)</f>
        <v>0</v>
      </c>
      <c r="U48" s="595">
        <f>-SUMIFS('F3 Änderungen ER'!$I$15:$I$289,'F3 Änderungen ER'!$B$15:$B$289,O$7,'F3 Änderungen ER'!$C$15:$C$289,$C48)</f>
        <v>0</v>
      </c>
      <c r="V48" s="665"/>
      <c r="W48" s="646"/>
      <c r="X48" s="647"/>
      <c r="Y48" s="648">
        <f>-SUMIFS('F3 Änderungen ER'!$E$15:$E$289,'F3 Änderungen ER'!$B$15:$B$289,W$7,'F3 Änderungen ER'!$C$15:$C$289,$C48)</f>
        <v>0</v>
      </c>
      <c r="Z48" s="649">
        <f>-SUMIFS('F3 Änderungen ER'!$F$15:$F$289,'F3 Änderungen ER'!$B$15:$B$289,W$7,'F3 Änderungen ER'!$C$15:$C$289,$C48)</f>
        <v>0</v>
      </c>
      <c r="AA48" s="649">
        <f>-SUMIFS('F3 Änderungen ER'!$G$15:$G$289,'F3 Änderungen ER'!$B$15:$B$289,W$7,'F3 Änderungen ER'!$C$15:$C$289,$C48)</f>
        <v>0</v>
      </c>
      <c r="AB48" s="649">
        <f>-SUMIFS('F3 Änderungen ER'!$H$15:$H$289,'F3 Änderungen ER'!$B$15:$B$289,W$7,'F3 Änderungen ER'!$C$15:$C$289,$C48)</f>
        <v>0</v>
      </c>
      <c r="AC48" s="595">
        <f>-SUMIFS('F3 Änderungen ER'!$I$15:$I$289,'F3 Änderungen ER'!$B$15:$B$289,W$7,'F3 Änderungen ER'!$C$15:$C$289,$C48)</f>
        <v>0</v>
      </c>
      <c r="AD48" s="665"/>
      <c r="AE48" s="646"/>
      <c r="AF48" s="647"/>
      <c r="AG48" s="648">
        <f>-SUMIFS('F3 Änderungen ER'!$E$15:$E$289,'F3 Änderungen ER'!$B$15:$B$289,AE$7,'F3 Änderungen ER'!$C$15:$C$289,$C48)</f>
        <v>0</v>
      </c>
      <c r="AH48" s="649">
        <f>-SUMIFS('F3 Änderungen ER'!$F$15:$F$289,'F3 Änderungen ER'!$B$15:$B$289,AE$7,'F3 Änderungen ER'!$C$15:$C$289,$C48)</f>
        <v>0</v>
      </c>
      <c r="AI48" s="649">
        <f>-SUMIFS('F3 Änderungen ER'!$G$15:$G$289,'F3 Änderungen ER'!$B$15:$B$289,AE$7,'F3 Änderungen ER'!$C$15:$C$289,$C48)</f>
        <v>0</v>
      </c>
      <c r="AJ48" s="649">
        <f>-SUMIFS('F3 Änderungen ER'!$H$15:$H$289,'F3 Änderungen ER'!$B$15:$B$289,AE$7,'F3 Änderungen ER'!$C$15:$C$289,$C48)</f>
        <v>0</v>
      </c>
      <c r="AK48" s="595">
        <f>-SUMIFS('F3 Änderungen ER'!$I$15:$I$289,'F3 Änderungen ER'!$B$15:$B$289,AE$7,'F3 Änderungen ER'!$C$15:$C$289,$C48)</f>
        <v>0</v>
      </c>
      <c r="AL48" s="665"/>
      <c r="AM48" s="646"/>
      <c r="AN48" s="647"/>
      <c r="AO48" s="648">
        <f>-SUMIFS('F3 Änderungen ER'!$E$15:$E$289,'F3 Änderungen ER'!$B$15:$B$289,AM$7,'F3 Änderungen ER'!$C$15:$C$289,$C48)</f>
        <v>0</v>
      </c>
      <c r="AP48" s="649">
        <f>-SUMIFS('F3 Änderungen ER'!$F$15:$F$289,'F3 Änderungen ER'!$B$15:$B$289,AM$7,'F3 Änderungen ER'!$C$15:$C$289,$C48)</f>
        <v>0</v>
      </c>
      <c r="AQ48" s="649">
        <f>-SUMIFS('F3 Änderungen ER'!$G$15:$G$289,'F3 Änderungen ER'!$B$15:$B$289,AM$7,'F3 Änderungen ER'!$C$15:$C$289,$C48)</f>
        <v>0</v>
      </c>
      <c r="AR48" s="649">
        <f>-SUMIFS('F3 Änderungen ER'!$H$15:$H$289,'F3 Änderungen ER'!$B$15:$B$289,AM$7,'F3 Änderungen ER'!$C$15:$C$289,$C48)</f>
        <v>0</v>
      </c>
      <c r="AS48" s="595">
        <f>-SUMIFS('F3 Änderungen ER'!$I$15:$I$289,'F3 Änderungen ER'!$B$15:$B$289,AM$7,'F3 Änderungen ER'!$C$15:$C$289,$C48)</f>
        <v>0</v>
      </c>
      <c r="AT48" s="665"/>
      <c r="AU48" s="646"/>
      <c r="AV48" s="647"/>
      <c r="AW48" s="648">
        <f>-SUMIFS('F3 Änderungen ER'!$E$15:$E$289,'F3 Änderungen ER'!$B$15:$B$289,AU$7,'F3 Änderungen ER'!$C$15:$C$289,$C48)</f>
        <v>0</v>
      </c>
      <c r="AX48" s="649">
        <f>-SUMIFS('F3 Änderungen ER'!$F$15:$F$289,'F3 Änderungen ER'!$B$15:$B$289,AU$7,'F3 Änderungen ER'!$C$15:$C$289,$C48)</f>
        <v>0</v>
      </c>
      <c r="AY48" s="649">
        <f>-SUMIFS('F3 Änderungen ER'!$G$15:$G$289,'F3 Änderungen ER'!$B$15:$B$289,AU$7,'F3 Änderungen ER'!$C$15:$C$289,$C48)</f>
        <v>0</v>
      </c>
      <c r="AZ48" s="649">
        <f>-SUMIFS('F3 Änderungen ER'!$H$15:$H$289,'F3 Änderungen ER'!$B$15:$B$289,AU$7,'F3 Änderungen ER'!$C$15:$C$289,$C48)</f>
        <v>0</v>
      </c>
      <c r="BA48" s="595">
        <f>-SUMIFS('F3 Änderungen ER'!$I$15:$I$289,'F3 Änderungen ER'!$B$15:$B$289,AU$7,'F3 Änderungen ER'!$C$15:$C$289,$C48)</f>
        <v>0</v>
      </c>
      <c r="BB48" s="665"/>
      <c r="BC48" s="646"/>
      <c r="BD48" s="647"/>
      <c r="BE48" s="648">
        <f>-SUMIFS('F3 Änderungen ER'!$E$15:$E$289,'F3 Änderungen ER'!$B$15:$B$289,BC$7,'F3 Änderungen ER'!$C$15:$C$289,$C48)</f>
        <v>0</v>
      </c>
      <c r="BF48" s="649">
        <f>-SUMIFS('F3 Änderungen ER'!$F$15:$F$289,'F3 Änderungen ER'!$B$15:$B$289,BC$7,'F3 Änderungen ER'!$C$15:$C$289,$C48)</f>
        <v>0</v>
      </c>
      <c r="BG48" s="649">
        <f>-SUMIFS('F3 Änderungen ER'!$G$15:$G$289,'F3 Änderungen ER'!$B$15:$B$289,BC$7,'F3 Änderungen ER'!$C$15:$C$289,$C48)</f>
        <v>0</v>
      </c>
      <c r="BH48" s="649">
        <f>-SUMIFS('F3 Änderungen ER'!$H$15:$H$289,'F3 Änderungen ER'!$B$15:$B$289,BC$7,'F3 Änderungen ER'!$C$15:$C$289,$C48)</f>
        <v>0</v>
      </c>
      <c r="BI48" s="595">
        <f>-SUMIFS('F3 Änderungen ER'!$I$15:$I$289,'F3 Änderungen ER'!$B$15:$B$289,BC$7,'F3 Änderungen ER'!$C$15:$C$289,$C48)</f>
        <v>0</v>
      </c>
      <c r="BJ48" s="665"/>
    </row>
    <row r="49" spans="2:62" ht="11.1" customHeight="1">
      <c r="B49" s="374"/>
      <c r="C49" s="603" t="s">
        <v>207</v>
      </c>
      <c r="D49" s="635" t="s">
        <v>208</v>
      </c>
      <c r="E49" s="635"/>
      <c r="F49" s="636"/>
      <c r="G49" s="646"/>
      <c r="H49" s="647"/>
      <c r="I49" s="648">
        <f t="shared" si="25"/>
        <v>0</v>
      </c>
      <c r="J49" s="649">
        <f t="shared" si="26"/>
        <v>0</v>
      </c>
      <c r="K49" s="649">
        <f t="shared" si="27"/>
        <v>0</v>
      </c>
      <c r="L49" s="649">
        <f t="shared" si="28"/>
        <v>0</v>
      </c>
      <c r="M49" s="595">
        <f t="shared" si="29"/>
        <v>0</v>
      </c>
      <c r="N49" s="602" t="str">
        <f t="shared" si="30"/>
        <v/>
      </c>
      <c r="O49" s="646"/>
      <c r="P49" s="647"/>
      <c r="Q49" s="648">
        <f>-SUMIFS('F3 Änderungen ER'!$E$15:$E$289,'F3 Änderungen ER'!$B$15:$B$289,O$7,'F3 Änderungen ER'!$C$15:$C$289,$C49)</f>
        <v>0</v>
      </c>
      <c r="R49" s="649">
        <f>-SUMIFS('F3 Änderungen ER'!$F$15:$F$289,'F3 Änderungen ER'!$B$15:$B$289,O$7,'F3 Änderungen ER'!$C$15:$C$289,$C49)</f>
        <v>0</v>
      </c>
      <c r="S49" s="649">
        <f>-SUMIFS('F3 Änderungen ER'!$G$15:$G$289,'F3 Änderungen ER'!$B$15:$B$289,O$7,'F3 Änderungen ER'!$C$15:$C$289,$C49)</f>
        <v>0</v>
      </c>
      <c r="T49" s="649">
        <f>-SUMIFS('F3 Änderungen ER'!$H$15:$H$289,'F3 Änderungen ER'!$B$15:$B$289,O$7,'F3 Änderungen ER'!$C$15:$C$289,$C49)</f>
        <v>0</v>
      </c>
      <c r="U49" s="595">
        <f>-SUMIFS('F3 Änderungen ER'!$I$15:$I$289,'F3 Änderungen ER'!$B$15:$B$289,O$7,'F3 Änderungen ER'!$C$15:$C$289,$C49)</f>
        <v>0</v>
      </c>
      <c r="V49" s="665"/>
      <c r="W49" s="646"/>
      <c r="X49" s="647"/>
      <c r="Y49" s="648">
        <f>-SUMIFS('F3 Änderungen ER'!$E$15:$E$289,'F3 Änderungen ER'!$B$15:$B$289,W$7,'F3 Änderungen ER'!$C$15:$C$289,$C49)</f>
        <v>0</v>
      </c>
      <c r="Z49" s="649">
        <f>-SUMIFS('F3 Änderungen ER'!$F$15:$F$289,'F3 Änderungen ER'!$B$15:$B$289,W$7,'F3 Änderungen ER'!$C$15:$C$289,$C49)</f>
        <v>0</v>
      </c>
      <c r="AA49" s="649">
        <f>-SUMIFS('F3 Änderungen ER'!$G$15:$G$289,'F3 Änderungen ER'!$B$15:$B$289,W$7,'F3 Änderungen ER'!$C$15:$C$289,$C49)</f>
        <v>0</v>
      </c>
      <c r="AB49" s="649">
        <f>-SUMIFS('F3 Änderungen ER'!$H$15:$H$289,'F3 Änderungen ER'!$B$15:$B$289,W$7,'F3 Änderungen ER'!$C$15:$C$289,$C49)</f>
        <v>0</v>
      </c>
      <c r="AC49" s="595">
        <f>-SUMIFS('F3 Änderungen ER'!$I$15:$I$289,'F3 Änderungen ER'!$B$15:$B$289,W$7,'F3 Änderungen ER'!$C$15:$C$289,$C49)</f>
        <v>0</v>
      </c>
      <c r="AD49" s="665"/>
      <c r="AE49" s="646"/>
      <c r="AF49" s="647"/>
      <c r="AG49" s="648">
        <f>-SUMIFS('F3 Änderungen ER'!$E$15:$E$289,'F3 Änderungen ER'!$B$15:$B$289,AE$7,'F3 Änderungen ER'!$C$15:$C$289,$C49)</f>
        <v>0</v>
      </c>
      <c r="AH49" s="649">
        <f>-SUMIFS('F3 Änderungen ER'!$F$15:$F$289,'F3 Änderungen ER'!$B$15:$B$289,AE$7,'F3 Änderungen ER'!$C$15:$C$289,$C49)</f>
        <v>0</v>
      </c>
      <c r="AI49" s="649">
        <f>-SUMIFS('F3 Änderungen ER'!$G$15:$G$289,'F3 Änderungen ER'!$B$15:$B$289,AE$7,'F3 Änderungen ER'!$C$15:$C$289,$C49)</f>
        <v>0</v>
      </c>
      <c r="AJ49" s="649">
        <f>-SUMIFS('F3 Änderungen ER'!$H$15:$H$289,'F3 Änderungen ER'!$B$15:$B$289,AE$7,'F3 Änderungen ER'!$C$15:$C$289,$C49)</f>
        <v>0</v>
      </c>
      <c r="AK49" s="595">
        <f>-SUMIFS('F3 Änderungen ER'!$I$15:$I$289,'F3 Änderungen ER'!$B$15:$B$289,AE$7,'F3 Änderungen ER'!$C$15:$C$289,$C49)</f>
        <v>0</v>
      </c>
      <c r="AL49" s="665"/>
      <c r="AM49" s="646"/>
      <c r="AN49" s="647"/>
      <c r="AO49" s="648">
        <f>-SUMIFS('F3 Änderungen ER'!$E$15:$E$289,'F3 Änderungen ER'!$B$15:$B$289,AM$7,'F3 Änderungen ER'!$C$15:$C$289,$C49)</f>
        <v>0</v>
      </c>
      <c r="AP49" s="649">
        <f>-SUMIFS('F3 Änderungen ER'!$F$15:$F$289,'F3 Änderungen ER'!$B$15:$B$289,AM$7,'F3 Änderungen ER'!$C$15:$C$289,$C49)</f>
        <v>0</v>
      </c>
      <c r="AQ49" s="649">
        <f>-SUMIFS('F3 Änderungen ER'!$G$15:$G$289,'F3 Änderungen ER'!$B$15:$B$289,AM$7,'F3 Änderungen ER'!$C$15:$C$289,$C49)</f>
        <v>0</v>
      </c>
      <c r="AR49" s="649">
        <f>-SUMIFS('F3 Änderungen ER'!$H$15:$H$289,'F3 Änderungen ER'!$B$15:$B$289,AM$7,'F3 Änderungen ER'!$C$15:$C$289,$C49)</f>
        <v>0</v>
      </c>
      <c r="AS49" s="595">
        <f>-SUMIFS('F3 Änderungen ER'!$I$15:$I$289,'F3 Änderungen ER'!$B$15:$B$289,AM$7,'F3 Änderungen ER'!$C$15:$C$289,$C49)</f>
        <v>0</v>
      </c>
      <c r="AT49" s="665"/>
      <c r="AU49" s="646"/>
      <c r="AV49" s="647"/>
      <c r="AW49" s="648">
        <f>-SUMIFS('F3 Änderungen ER'!$E$15:$E$289,'F3 Änderungen ER'!$B$15:$B$289,AU$7,'F3 Änderungen ER'!$C$15:$C$289,$C49)</f>
        <v>0</v>
      </c>
      <c r="AX49" s="649">
        <f>-SUMIFS('F3 Änderungen ER'!$F$15:$F$289,'F3 Änderungen ER'!$B$15:$B$289,AU$7,'F3 Änderungen ER'!$C$15:$C$289,$C49)</f>
        <v>0</v>
      </c>
      <c r="AY49" s="649">
        <f>-SUMIFS('F3 Änderungen ER'!$G$15:$G$289,'F3 Änderungen ER'!$B$15:$B$289,AU$7,'F3 Änderungen ER'!$C$15:$C$289,$C49)</f>
        <v>0</v>
      </c>
      <c r="AZ49" s="649">
        <f>-SUMIFS('F3 Änderungen ER'!$H$15:$H$289,'F3 Änderungen ER'!$B$15:$B$289,AU$7,'F3 Änderungen ER'!$C$15:$C$289,$C49)</f>
        <v>0</v>
      </c>
      <c r="BA49" s="595">
        <f>-SUMIFS('F3 Änderungen ER'!$I$15:$I$289,'F3 Änderungen ER'!$B$15:$B$289,AU$7,'F3 Änderungen ER'!$C$15:$C$289,$C49)</f>
        <v>0</v>
      </c>
      <c r="BB49" s="665"/>
      <c r="BC49" s="646"/>
      <c r="BD49" s="647"/>
      <c r="BE49" s="648">
        <f>-SUMIFS('F3 Änderungen ER'!$E$15:$E$289,'F3 Änderungen ER'!$B$15:$B$289,BC$7,'F3 Änderungen ER'!$C$15:$C$289,$C49)</f>
        <v>0</v>
      </c>
      <c r="BF49" s="649">
        <f>-SUMIFS('F3 Änderungen ER'!$F$15:$F$289,'F3 Änderungen ER'!$B$15:$B$289,BC$7,'F3 Änderungen ER'!$C$15:$C$289,$C49)</f>
        <v>0</v>
      </c>
      <c r="BG49" s="649">
        <f>-SUMIFS('F3 Änderungen ER'!$G$15:$G$289,'F3 Änderungen ER'!$B$15:$B$289,BC$7,'F3 Änderungen ER'!$C$15:$C$289,$C49)</f>
        <v>0</v>
      </c>
      <c r="BH49" s="649">
        <f>-SUMIFS('F3 Änderungen ER'!$H$15:$H$289,'F3 Änderungen ER'!$B$15:$B$289,BC$7,'F3 Änderungen ER'!$C$15:$C$289,$C49)</f>
        <v>0</v>
      </c>
      <c r="BI49" s="595">
        <f>-SUMIFS('F3 Änderungen ER'!$I$15:$I$289,'F3 Änderungen ER'!$B$15:$B$289,BC$7,'F3 Änderungen ER'!$C$15:$C$289,$C49)</f>
        <v>0</v>
      </c>
      <c r="BJ49" s="665"/>
    </row>
    <row r="50" spans="2:62" s="660" customFormat="1" ht="11.1" customHeight="1">
      <c r="B50" s="661">
        <v>45</v>
      </c>
      <c r="C50" s="667"/>
      <c r="D50" s="1428" t="s">
        <v>96</v>
      </c>
      <c r="E50" s="1428"/>
      <c r="F50" s="1429"/>
      <c r="G50" s="420"/>
      <c r="H50" s="421"/>
      <c r="I50" s="590"/>
      <c r="J50" s="649" t="s">
        <v>333</v>
      </c>
      <c r="K50" s="591"/>
      <c r="L50" s="591"/>
      <c r="M50" s="591"/>
      <c r="N50" s="602" t="str">
        <f t="shared" si="30"/>
        <v/>
      </c>
      <c r="O50" s="679"/>
      <c r="P50" s="680"/>
      <c r="Q50" s="590"/>
      <c r="R50" s="589"/>
      <c r="S50" s="591"/>
      <c r="T50" s="591"/>
      <c r="U50" s="591"/>
      <c r="W50" s="679"/>
      <c r="X50" s="680"/>
      <c r="Y50" s="590"/>
      <c r="Z50" s="589"/>
      <c r="AA50" s="591"/>
      <c r="AB50" s="591"/>
      <c r="AC50" s="591"/>
      <c r="AD50" s="682"/>
      <c r="AE50" s="679"/>
      <c r="AF50" s="680"/>
      <c r="AG50" s="590"/>
      <c r="AH50" s="589"/>
      <c r="AI50" s="591"/>
      <c r="AJ50" s="591"/>
      <c r="AK50" s="591"/>
      <c r="AL50" s="682"/>
      <c r="AM50" s="679"/>
      <c r="AN50" s="680"/>
      <c r="AO50" s="590"/>
      <c r="AP50" s="589"/>
      <c r="AQ50" s="591"/>
      <c r="AR50" s="591"/>
      <c r="AS50" s="591"/>
      <c r="AT50" s="682"/>
      <c r="AU50" s="679"/>
      <c r="AV50" s="680"/>
      <c r="AW50" s="590"/>
      <c r="AX50" s="589"/>
      <c r="AY50" s="591"/>
      <c r="AZ50" s="591"/>
      <c r="BA50" s="591"/>
      <c r="BB50" s="682"/>
      <c r="BC50" s="679"/>
      <c r="BD50" s="680"/>
      <c r="BE50" s="590"/>
      <c r="BF50" s="589"/>
      <c r="BG50" s="591"/>
      <c r="BH50" s="591"/>
      <c r="BI50" s="591"/>
      <c r="BJ50" s="682"/>
    </row>
    <row r="51" spans="2:62" s="660" customFormat="1" ht="11.1" customHeight="1">
      <c r="B51" s="661"/>
      <c r="C51" s="662">
        <v>450</v>
      </c>
      <c r="D51" s="663" t="s">
        <v>199</v>
      </c>
      <c r="E51" s="663"/>
      <c r="F51" s="664"/>
      <c r="G51" s="646"/>
      <c r="H51" s="647"/>
      <c r="I51" s="590"/>
      <c r="J51" s="649" t="s">
        <v>333</v>
      </c>
      <c r="K51" s="591"/>
      <c r="L51" s="591"/>
      <c r="M51" s="591"/>
      <c r="N51" s="602" t="str">
        <f t="shared" si="30"/>
        <v/>
      </c>
      <c r="O51" s="646"/>
      <c r="P51" s="647"/>
      <c r="Q51" s="590"/>
      <c r="R51" s="589"/>
      <c r="S51" s="591"/>
      <c r="T51" s="591"/>
      <c r="U51" s="591"/>
      <c r="V51" s="665"/>
      <c r="W51" s="646"/>
      <c r="X51" s="647"/>
      <c r="Y51" s="590"/>
      <c r="Z51" s="589"/>
      <c r="AA51" s="591"/>
      <c r="AB51" s="591"/>
      <c r="AC51" s="591"/>
      <c r="AD51" s="665"/>
      <c r="AE51" s="646"/>
      <c r="AF51" s="647"/>
      <c r="AG51" s="590"/>
      <c r="AH51" s="589"/>
      <c r="AI51" s="591"/>
      <c r="AJ51" s="591"/>
      <c r="AK51" s="591"/>
      <c r="AL51" s="665"/>
      <c r="AM51" s="646"/>
      <c r="AN51" s="647"/>
      <c r="AO51" s="590"/>
      <c r="AP51" s="589"/>
      <c r="AQ51" s="591"/>
      <c r="AR51" s="591"/>
      <c r="AS51" s="591"/>
      <c r="AT51" s="665"/>
      <c r="AU51" s="646"/>
      <c r="AV51" s="647"/>
      <c r="AW51" s="590"/>
      <c r="AX51" s="589"/>
      <c r="AY51" s="591"/>
      <c r="AZ51" s="591"/>
      <c r="BA51" s="591"/>
      <c r="BB51" s="665"/>
      <c r="BC51" s="646"/>
      <c r="BD51" s="647"/>
      <c r="BE51" s="590"/>
      <c r="BF51" s="589"/>
      <c r="BG51" s="591"/>
      <c r="BH51" s="591"/>
      <c r="BI51" s="591"/>
      <c r="BJ51" s="665"/>
    </row>
    <row r="52" spans="2:62" s="660" customFormat="1" ht="11.1" customHeight="1">
      <c r="B52" s="661"/>
      <c r="C52" s="662">
        <v>4510</v>
      </c>
      <c r="D52" s="663" t="s">
        <v>204</v>
      </c>
      <c r="E52" s="663"/>
      <c r="F52" s="664"/>
      <c r="G52" s="646"/>
      <c r="H52" s="647"/>
      <c r="I52" s="590"/>
      <c r="J52" s="649" t="s">
        <v>333</v>
      </c>
      <c r="K52" s="591"/>
      <c r="L52" s="591"/>
      <c r="M52" s="591"/>
      <c r="N52" s="602" t="str">
        <f t="shared" si="30"/>
        <v/>
      </c>
      <c r="O52" s="646"/>
      <c r="P52" s="647"/>
      <c r="Q52" s="590"/>
      <c r="R52" s="589"/>
      <c r="S52" s="591"/>
      <c r="T52" s="591"/>
      <c r="U52" s="591"/>
      <c r="V52" s="665"/>
      <c r="W52" s="646"/>
      <c r="X52" s="647"/>
      <c r="Y52" s="590"/>
      <c r="Z52" s="589"/>
      <c r="AA52" s="591"/>
      <c r="AB52" s="591"/>
      <c r="AC52" s="591"/>
      <c r="AD52" s="665"/>
      <c r="AE52" s="646"/>
      <c r="AF52" s="647"/>
      <c r="AG52" s="590"/>
      <c r="AH52" s="589"/>
      <c r="AI52" s="591"/>
      <c r="AJ52" s="591"/>
      <c r="AK52" s="591"/>
      <c r="AL52" s="665"/>
      <c r="AM52" s="646"/>
      <c r="AN52" s="647"/>
      <c r="AO52" s="590"/>
      <c r="AP52" s="589"/>
      <c r="AQ52" s="591"/>
      <c r="AR52" s="591"/>
      <c r="AS52" s="591"/>
      <c r="AT52" s="665"/>
      <c r="AU52" s="646"/>
      <c r="AV52" s="647"/>
      <c r="AW52" s="590"/>
      <c r="AX52" s="589"/>
      <c r="AY52" s="591"/>
      <c r="AZ52" s="591"/>
      <c r="BA52" s="591"/>
      <c r="BB52" s="665"/>
      <c r="BC52" s="646"/>
      <c r="BD52" s="647"/>
      <c r="BE52" s="590"/>
      <c r="BF52" s="589"/>
      <c r="BG52" s="591"/>
      <c r="BH52" s="591"/>
      <c r="BI52" s="591"/>
      <c r="BJ52" s="665"/>
    </row>
    <row r="53" spans="2:62" s="660" customFormat="1" ht="11.1" customHeight="1">
      <c r="B53" s="661"/>
      <c r="C53" s="662">
        <v>4511</v>
      </c>
      <c r="D53" s="663" t="s">
        <v>205</v>
      </c>
      <c r="E53" s="663"/>
      <c r="F53" s="933"/>
      <c r="G53" s="646"/>
      <c r="H53" s="647"/>
      <c r="I53" s="590"/>
      <c r="J53" s="649" t="s">
        <v>333</v>
      </c>
      <c r="K53" s="591"/>
      <c r="L53" s="591"/>
      <c r="M53" s="591"/>
      <c r="N53" s="602" t="str">
        <f t="shared" si="30"/>
        <v/>
      </c>
      <c r="O53" s="646"/>
      <c r="P53" s="647"/>
      <c r="Q53" s="590"/>
      <c r="R53" s="589"/>
      <c r="S53" s="591"/>
      <c r="T53" s="591"/>
      <c r="U53" s="591"/>
      <c r="V53" s="665"/>
      <c r="W53" s="646"/>
      <c r="X53" s="647"/>
      <c r="Y53" s="590"/>
      <c r="Z53" s="589"/>
      <c r="AA53" s="591"/>
      <c r="AB53" s="591"/>
      <c r="AC53" s="591"/>
      <c r="AD53" s="665"/>
      <c r="AE53" s="646"/>
      <c r="AF53" s="647"/>
      <c r="AG53" s="590"/>
      <c r="AH53" s="589"/>
      <c r="AI53" s="591"/>
      <c r="AJ53" s="591"/>
      <c r="AK53" s="591"/>
      <c r="AL53" s="665"/>
      <c r="AM53" s="646"/>
      <c r="AN53" s="647"/>
      <c r="AO53" s="590"/>
      <c r="AP53" s="589"/>
      <c r="AQ53" s="591"/>
      <c r="AR53" s="591"/>
      <c r="AS53" s="591"/>
      <c r="AT53" s="665"/>
      <c r="AU53" s="646"/>
      <c r="AV53" s="647"/>
      <c r="AW53" s="590"/>
      <c r="AX53" s="589"/>
      <c r="AY53" s="591"/>
      <c r="AZ53" s="591"/>
      <c r="BA53" s="591"/>
      <c r="BB53" s="665"/>
      <c r="BC53" s="646"/>
      <c r="BD53" s="647"/>
      <c r="BE53" s="590"/>
      <c r="BF53" s="589"/>
      <c r="BG53" s="591"/>
      <c r="BH53" s="591"/>
      <c r="BI53" s="591"/>
      <c r="BJ53" s="665"/>
    </row>
    <row r="54" spans="2:62" s="660" customFormat="1" ht="11.1" customHeight="1">
      <c r="B54" s="661"/>
      <c r="C54" s="662">
        <v>4512</v>
      </c>
      <c r="D54" s="663" t="s">
        <v>292</v>
      </c>
      <c r="E54" s="663"/>
      <c r="F54" s="664"/>
      <c r="G54" s="646"/>
      <c r="H54" s="647"/>
      <c r="I54" s="590"/>
      <c r="J54" s="649" t="s">
        <v>333</v>
      </c>
      <c r="K54" s="591"/>
      <c r="L54" s="591"/>
      <c r="M54" s="591"/>
      <c r="N54" s="602" t="str">
        <f t="shared" si="30"/>
        <v/>
      </c>
      <c r="O54" s="646"/>
      <c r="P54" s="647"/>
      <c r="Q54" s="590"/>
      <c r="R54" s="589"/>
      <c r="S54" s="591"/>
      <c r="T54" s="591"/>
      <c r="U54" s="591"/>
      <c r="V54" s="665"/>
      <c r="W54" s="646"/>
      <c r="X54" s="647"/>
      <c r="Y54" s="590"/>
      <c r="Z54" s="589"/>
      <c r="AA54" s="591"/>
      <c r="AB54" s="591"/>
      <c r="AC54" s="591"/>
      <c r="AD54" s="665"/>
      <c r="AE54" s="646"/>
      <c r="AF54" s="647"/>
      <c r="AG54" s="590"/>
      <c r="AH54" s="589"/>
      <c r="AI54" s="591"/>
      <c r="AJ54" s="591"/>
      <c r="AK54" s="591"/>
      <c r="AL54" s="665"/>
      <c r="AM54" s="646"/>
      <c r="AN54" s="647"/>
      <c r="AO54" s="590"/>
      <c r="AP54" s="589"/>
      <c r="AQ54" s="591"/>
      <c r="AR54" s="591"/>
      <c r="AS54" s="591"/>
      <c r="AT54" s="665"/>
      <c r="AU54" s="646"/>
      <c r="AV54" s="647"/>
      <c r="AW54" s="590"/>
      <c r="AX54" s="589"/>
      <c r="AY54" s="591"/>
      <c r="AZ54" s="591"/>
      <c r="BA54" s="591"/>
      <c r="BB54" s="665"/>
      <c r="BC54" s="646"/>
      <c r="BD54" s="647"/>
      <c r="BE54" s="590"/>
      <c r="BF54" s="589"/>
      <c r="BG54" s="591"/>
      <c r="BH54" s="591"/>
      <c r="BI54" s="591"/>
      <c r="BJ54" s="665"/>
    </row>
    <row r="55" spans="2:62" ht="11.1" customHeight="1">
      <c r="B55" s="374">
        <v>46</v>
      </c>
      <c r="C55" s="383"/>
      <c r="D55" s="1412" t="s">
        <v>98</v>
      </c>
      <c r="E55" s="1412"/>
      <c r="F55" s="1413"/>
      <c r="G55" s="420"/>
      <c r="H55" s="421"/>
      <c r="I55" s="422">
        <f t="shared" ref="I55:I61" si="31">SUMIFS(O55:PN55,$O$11:$PN$11,I$11)</f>
        <v>0</v>
      </c>
      <c r="J55" s="420">
        <f t="shared" ref="J55:J61" si="32">SUMIFS(O55:PN55,$O$11:$PN$11,J$11)</f>
        <v>0</v>
      </c>
      <c r="K55" s="420">
        <f t="shared" ref="K55:K61" si="33">SUMIFS(O55:PN55,$O$11:$PN$11,K$11)</f>
        <v>0</v>
      </c>
      <c r="L55" s="420">
        <f t="shared" ref="L55:L61" si="34">SUMIFS(O55:PN55,$O$11:$PN$11,L$11)</f>
        <v>0</v>
      </c>
      <c r="M55" s="423">
        <f t="shared" ref="M55:M61" si="35">SUMIFS(O55:PN55,$O$11:$PN$11,M$11)</f>
        <v>0</v>
      </c>
      <c r="N55" s="602" t="str">
        <f t="shared" si="30"/>
        <v/>
      </c>
      <c r="O55" s="420"/>
      <c r="P55" s="421"/>
      <c r="Q55" s="670">
        <f>-SUMIFS('F3 Änderungen ER'!$E$15:$E$289,'F3 Änderungen ER'!$B$15:$B$289,O$7,'F3 Änderungen ER'!$C$15:$C$289,$B55)</f>
        <v>0</v>
      </c>
      <c r="R55" s="681">
        <f>-SUMIFS('F3 Änderungen ER'!$F$15:$F$289,'F3 Änderungen ER'!$B$15:$B$289,O$7,'F3 Änderungen ER'!$C$15:$C$289,$B55)</f>
        <v>0</v>
      </c>
      <c r="S55" s="671">
        <f>-SUMIFS('F3 Änderungen ER'!$G$15:$G$289,'F3 Änderungen ER'!$B$15:$B$289,O$7,'F3 Änderungen ER'!$C$15:$C$289,$B55)</f>
        <v>0</v>
      </c>
      <c r="T55" s="671">
        <f>-SUMIFS('F3 Änderungen ER'!$H$15:$H$289,'F3 Änderungen ER'!$B$15:$B$289,O$7,'F3 Änderungen ER'!$C$15:$C$289,$B55)</f>
        <v>0</v>
      </c>
      <c r="U55" s="671">
        <f>-SUMIFS('F3 Änderungen ER'!$I$15:$I$289,'F3 Änderungen ER'!$B$15:$B$289,O$7,'F3 Änderungen ER'!$C$15:$C$289,$B55)</f>
        <v>0</v>
      </c>
      <c r="W55" s="420"/>
      <c r="X55" s="421"/>
      <c r="Y55" s="670">
        <f>-SUMIFS('F3 Änderungen ER'!$E$15:$E$289,'F3 Änderungen ER'!$B$15:$B$289,W$7,'F3 Änderungen ER'!$C$15:$C$289,$B55)</f>
        <v>0</v>
      </c>
      <c r="Z55" s="681">
        <f>-SUMIFS('F3 Änderungen ER'!$F$15:$F$289,'F3 Änderungen ER'!$B$15:$B$289,W$7,'F3 Änderungen ER'!$C$15:$C$289,$B55)</f>
        <v>0</v>
      </c>
      <c r="AA55" s="671">
        <f>-SUMIFS('F3 Änderungen ER'!$G$15:$G$289,'F3 Änderungen ER'!$B$15:$B$289,W$7,'F3 Änderungen ER'!$C$15:$C$289,$B55)</f>
        <v>0</v>
      </c>
      <c r="AB55" s="671">
        <f>-SUMIFS('F3 Änderungen ER'!$H$15:$H$289,'F3 Änderungen ER'!$B$15:$B$289,W$7,'F3 Änderungen ER'!$C$15:$C$289,$B55)</f>
        <v>0</v>
      </c>
      <c r="AC55" s="671">
        <f>-SUMIFS('F3 Änderungen ER'!$I$15:$I$289,'F3 Änderungen ER'!$B$15:$B$289,W$7,'F3 Änderungen ER'!$C$15:$C$289,$B55)</f>
        <v>0</v>
      </c>
      <c r="AE55" s="420"/>
      <c r="AF55" s="421"/>
      <c r="AG55" s="670">
        <f>-SUMIFS('F3 Änderungen ER'!$E$15:$E$289,'F3 Änderungen ER'!$B$15:$B$289,AE$7,'F3 Änderungen ER'!$C$15:$C$289,$B55)</f>
        <v>0</v>
      </c>
      <c r="AH55" s="681">
        <f>-SUMIFS('F3 Änderungen ER'!$F$15:$F$289,'F3 Änderungen ER'!$B$15:$B$289,AE$7,'F3 Änderungen ER'!$C$15:$C$289,$B55)</f>
        <v>0</v>
      </c>
      <c r="AI55" s="671">
        <f>-SUMIFS('F3 Änderungen ER'!$G$15:$G$289,'F3 Änderungen ER'!$B$15:$B$289,AE$7,'F3 Änderungen ER'!$C$15:$C$289,$B55)</f>
        <v>0</v>
      </c>
      <c r="AJ55" s="671">
        <f>-SUMIFS('F3 Änderungen ER'!$H$15:$H$289,'F3 Änderungen ER'!$B$15:$B$289,AE$7,'F3 Änderungen ER'!$C$15:$C$289,$B55)</f>
        <v>0</v>
      </c>
      <c r="AK55" s="671">
        <f>-SUMIFS('F3 Änderungen ER'!$I$15:$I$289,'F3 Änderungen ER'!$B$15:$B$289,AE$7,'F3 Änderungen ER'!$C$15:$C$289,$B55)</f>
        <v>0</v>
      </c>
      <c r="AM55" s="420"/>
      <c r="AN55" s="421"/>
      <c r="AO55" s="670">
        <f>-SUMIFS('F3 Änderungen ER'!$E$15:$E$289,'F3 Änderungen ER'!$B$15:$B$289,AM$7,'F3 Änderungen ER'!$C$15:$C$289,$B55)</f>
        <v>0</v>
      </c>
      <c r="AP55" s="681">
        <f>-SUMIFS('F3 Änderungen ER'!$F$15:$F$289,'F3 Änderungen ER'!$B$15:$B$289,AM$7,'F3 Änderungen ER'!$C$15:$C$289,$B55)</f>
        <v>0</v>
      </c>
      <c r="AQ55" s="671">
        <f>-SUMIFS('F3 Änderungen ER'!$G$15:$G$289,'F3 Änderungen ER'!$B$15:$B$289,AM$7,'F3 Änderungen ER'!$C$15:$C$289,$B55)</f>
        <v>0</v>
      </c>
      <c r="AR55" s="671">
        <f>-SUMIFS('F3 Änderungen ER'!$H$15:$H$289,'F3 Änderungen ER'!$B$15:$B$289,AM$7,'F3 Änderungen ER'!$C$15:$C$289,$B55)</f>
        <v>0</v>
      </c>
      <c r="AS55" s="671">
        <f>-SUMIFS('F3 Änderungen ER'!$I$15:$I$289,'F3 Änderungen ER'!$B$15:$B$289,AM$7,'F3 Änderungen ER'!$C$15:$C$289,$B55)</f>
        <v>0</v>
      </c>
      <c r="AU55" s="420"/>
      <c r="AV55" s="421"/>
      <c r="AW55" s="670">
        <f>-SUMIFS('F3 Änderungen ER'!$E$15:$E$289,'F3 Änderungen ER'!$B$15:$B$289,AU$7,'F3 Änderungen ER'!$C$15:$C$289,$B55)</f>
        <v>0</v>
      </c>
      <c r="AX55" s="681">
        <f>-SUMIFS('F3 Änderungen ER'!$F$15:$F$289,'F3 Änderungen ER'!$B$15:$B$289,AU$7,'F3 Änderungen ER'!$C$15:$C$289,$B55)</f>
        <v>0</v>
      </c>
      <c r="AY55" s="671">
        <f>-SUMIFS('F3 Änderungen ER'!$G$15:$G$289,'F3 Änderungen ER'!$B$15:$B$289,AU$7,'F3 Änderungen ER'!$C$15:$C$289,$B55)</f>
        <v>0</v>
      </c>
      <c r="AZ55" s="671">
        <f>-SUMIFS('F3 Änderungen ER'!$H$15:$H$289,'F3 Änderungen ER'!$B$15:$B$289,AU$7,'F3 Änderungen ER'!$C$15:$C$289,$B55)</f>
        <v>0</v>
      </c>
      <c r="BA55" s="671">
        <f>-SUMIFS('F3 Änderungen ER'!$I$15:$I$289,'F3 Änderungen ER'!$B$15:$B$289,AU$7,'F3 Änderungen ER'!$C$15:$C$289,$B55)</f>
        <v>0</v>
      </c>
      <c r="BC55" s="420"/>
      <c r="BD55" s="421"/>
      <c r="BE55" s="670">
        <f>-SUMIFS('F3 Änderungen ER'!$E$15:$E$289,'F3 Änderungen ER'!$B$15:$B$289,BC$7,'F3 Änderungen ER'!$C$15:$C$289,$B55)</f>
        <v>0</v>
      </c>
      <c r="BF55" s="681">
        <f>-SUMIFS('F3 Änderungen ER'!$F$15:$F$289,'F3 Änderungen ER'!$B$15:$B$289,BC$7,'F3 Änderungen ER'!$C$15:$C$289,$B55)</f>
        <v>0</v>
      </c>
      <c r="BG55" s="671">
        <f>-SUMIFS('F3 Änderungen ER'!$G$15:$G$289,'F3 Änderungen ER'!$B$15:$B$289,BC$7,'F3 Änderungen ER'!$C$15:$C$289,$B55)</f>
        <v>0</v>
      </c>
      <c r="BH55" s="671">
        <f>-SUMIFS('F3 Änderungen ER'!$H$15:$H$289,'F3 Änderungen ER'!$B$15:$B$289,BC$7,'F3 Änderungen ER'!$C$15:$C$289,$B55)</f>
        <v>0</v>
      </c>
      <c r="BI55" s="671">
        <f>-SUMIFS('F3 Änderungen ER'!$I$15:$I$289,'F3 Änderungen ER'!$B$15:$B$289,BC$7,'F3 Änderungen ER'!$C$15:$C$289,$B55)</f>
        <v>0</v>
      </c>
    </row>
    <row r="56" spans="2:62" s="644" customFormat="1" ht="11.1" customHeight="1">
      <c r="B56" s="645"/>
      <c r="C56" s="642">
        <v>462</v>
      </c>
      <c r="D56" s="643"/>
      <c r="E56" s="1426" t="s">
        <v>176</v>
      </c>
      <c r="F56" s="1427"/>
      <c r="G56" s="646"/>
      <c r="H56" s="647"/>
      <c r="I56" s="648">
        <f t="shared" si="31"/>
        <v>0</v>
      </c>
      <c r="J56" s="649">
        <f t="shared" si="32"/>
        <v>0</v>
      </c>
      <c r="K56" s="649">
        <f t="shared" si="33"/>
        <v>0</v>
      </c>
      <c r="L56" s="649">
        <f t="shared" si="34"/>
        <v>0</v>
      </c>
      <c r="M56" s="595">
        <f t="shared" si="35"/>
        <v>0</v>
      </c>
      <c r="N56" s="602" t="str">
        <f t="shared" si="30"/>
        <v/>
      </c>
      <c r="O56" s="646"/>
      <c r="P56" s="647"/>
      <c r="Q56" s="648">
        <f>-SUMIFS('F3 Änderungen ER'!$E$15:$E$289,'F3 Änderungen ER'!$B$15:$B$289,O$7,'F3 Änderungen ER'!$C$15:$C$289,$C56)</f>
        <v>0</v>
      </c>
      <c r="R56" s="649">
        <f>-SUMIFS('F3 Änderungen ER'!$F$15:$F$289,'F3 Änderungen ER'!$B$15:$B$289,O$7,'F3 Änderungen ER'!$C$15:$C$289,$C56)</f>
        <v>0</v>
      </c>
      <c r="S56" s="649">
        <f>-SUMIFS('F3 Änderungen ER'!$G$15:$G$289,'F3 Änderungen ER'!$B$15:$B$289,O$7,'F3 Änderungen ER'!$C$15:$C$289,$C56)</f>
        <v>0</v>
      </c>
      <c r="T56" s="649">
        <f>-SUMIFS('F3 Änderungen ER'!$H$15:$H$289,'F3 Änderungen ER'!$B$15:$B$289,O$7,'F3 Änderungen ER'!$C$15:$C$289,$C56)</f>
        <v>0</v>
      </c>
      <c r="U56" s="595">
        <f>-SUMIFS('F3 Änderungen ER'!$I$15:$I$289,'F3 Änderungen ER'!$B$15:$B$289,O$7,'F3 Änderungen ER'!$C$15:$C$289,$C56)</f>
        <v>0</v>
      </c>
      <c r="W56" s="646"/>
      <c r="X56" s="647"/>
      <c r="Y56" s="648">
        <f>-SUMIFS('F3 Änderungen ER'!$E$15:$E$289,'F3 Änderungen ER'!$B$15:$B$289,W$7,'F3 Änderungen ER'!$C$15:$C$289,$C56)</f>
        <v>0</v>
      </c>
      <c r="Z56" s="649">
        <f>-SUMIFS('F3 Änderungen ER'!$F$15:$F$289,'F3 Änderungen ER'!$B$15:$B$289,W$7,'F3 Änderungen ER'!$C$15:$C$289,$C56)</f>
        <v>0</v>
      </c>
      <c r="AA56" s="649">
        <f>-SUMIFS('F3 Änderungen ER'!$G$15:$G$289,'F3 Änderungen ER'!$B$15:$B$289,W$7,'F3 Änderungen ER'!$C$15:$C$289,$C56)</f>
        <v>0</v>
      </c>
      <c r="AB56" s="649">
        <f>-SUMIFS('F3 Änderungen ER'!$H$15:$H$289,'F3 Änderungen ER'!$B$15:$B$289,W$7,'F3 Änderungen ER'!$C$15:$C$289,$C56)</f>
        <v>0</v>
      </c>
      <c r="AC56" s="595">
        <f>-SUMIFS('F3 Änderungen ER'!$I$15:$I$289,'F3 Änderungen ER'!$B$15:$B$289,W$7,'F3 Änderungen ER'!$C$15:$C$289,$C56)</f>
        <v>0</v>
      </c>
      <c r="AE56" s="646"/>
      <c r="AF56" s="647"/>
      <c r="AG56" s="648">
        <f>-SUMIFS('F3 Änderungen ER'!$E$15:$E$289,'F3 Änderungen ER'!$B$15:$B$289,AE$7,'F3 Änderungen ER'!$C$15:$C$289,$C56)</f>
        <v>0</v>
      </c>
      <c r="AH56" s="649">
        <f>-SUMIFS('F3 Änderungen ER'!$F$15:$F$289,'F3 Änderungen ER'!$B$15:$B$289,AE$7,'F3 Änderungen ER'!$C$15:$C$289,$C56)</f>
        <v>0</v>
      </c>
      <c r="AI56" s="649">
        <f>-SUMIFS('F3 Änderungen ER'!$G$15:$G$289,'F3 Änderungen ER'!$B$15:$B$289,AE$7,'F3 Änderungen ER'!$C$15:$C$289,$C56)</f>
        <v>0</v>
      </c>
      <c r="AJ56" s="649">
        <f>-SUMIFS('F3 Änderungen ER'!$H$15:$H$289,'F3 Änderungen ER'!$B$15:$B$289,AE$7,'F3 Änderungen ER'!$C$15:$C$289,$C56)</f>
        <v>0</v>
      </c>
      <c r="AK56" s="595">
        <f>-SUMIFS('F3 Änderungen ER'!$I$15:$I$289,'F3 Änderungen ER'!$B$15:$B$289,AE$7,'F3 Änderungen ER'!$C$15:$C$289,$C56)</f>
        <v>0</v>
      </c>
      <c r="AM56" s="646"/>
      <c r="AN56" s="647"/>
      <c r="AO56" s="648">
        <f>-SUMIFS('F3 Änderungen ER'!$E$15:$E$289,'F3 Änderungen ER'!$B$15:$B$289,AM$7,'F3 Änderungen ER'!$C$15:$C$289,$C56)</f>
        <v>0</v>
      </c>
      <c r="AP56" s="649">
        <f>-SUMIFS('F3 Änderungen ER'!$F$15:$F$289,'F3 Änderungen ER'!$B$15:$B$289,AM$7,'F3 Änderungen ER'!$C$15:$C$289,$C56)</f>
        <v>0</v>
      </c>
      <c r="AQ56" s="649">
        <f>-SUMIFS('F3 Änderungen ER'!$G$15:$G$289,'F3 Änderungen ER'!$B$15:$B$289,AM$7,'F3 Änderungen ER'!$C$15:$C$289,$C56)</f>
        <v>0</v>
      </c>
      <c r="AR56" s="649">
        <f>-SUMIFS('F3 Änderungen ER'!$H$15:$H$289,'F3 Änderungen ER'!$B$15:$B$289,AM$7,'F3 Änderungen ER'!$C$15:$C$289,$C56)</f>
        <v>0</v>
      </c>
      <c r="AS56" s="595">
        <f>-SUMIFS('F3 Änderungen ER'!$I$15:$I$289,'F3 Änderungen ER'!$B$15:$B$289,AM$7,'F3 Änderungen ER'!$C$15:$C$289,$C56)</f>
        <v>0</v>
      </c>
      <c r="AU56" s="646"/>
      <c r="AV56" s="647"/>
      <c r="AW56" s="648">
        <f>-SUMIFS('F3 Änderungen ER'!$E$15:$E$289,'F3 Änderungen ER'!$B$15:$B$289,AU$7,'F3 Änderungen ER'!$C$15:$C$289,$C56)</f>
        <v>0</v>
      </c>
      <c r="AX56" s="649">
        <f>-SUMIFS('F3 Änderungen ER'!$F$15:$F$289,'F3 Änderungen ER'!$B$15:$B$289,AU$7,'F3 Änderungen ER'!$C$15:$C$289,$C56)</f>
        <v>0</v>
      </c>
      <c r="AY56" s="649">
        <f>-SUMIFS('F3 Änderungen ER'!$G$15:$G$289,'F3 Änderungen ER'!$B$15:$B$289,AU$7,'F3 Änderungen ER'!$C$15:$C$289,$C56)</f>
        <v>0</v>
      </c>
      <c r="AZ56" s="649">
        <f>-SUMIFS('F3 Änderungen ER'!$H$15:$H$289,'F3 Änderungen ER'!$B$15:$B$289,AU$7,'F3 Änderungen ER'!$C$15:$C$289,$C56)</f>
        <v>0</v>
      </c>
      <c r="BA56" s="595">
        <f>-SUMIFS('F3 Änderungen ER'!$I$15:$I$289,'F3 Änderungen ER'!$B$15:$B$289,AU$7,'F3 Änderungen ER'!$C$15:$C$289,$C56)</f>
        <v>0</v>
      </c>
      <c r="BC56" s="646"/>
      <c r="BD56" s="647"/>
      <c r="BE56" s="648">
        <f>-SUMIFS('F3 Änderungen ER'!$E$15:$E$289,'F3 Änderungen ER'!$B$15:$B$289,BC$7,'F3 Änderungen ER'!$C$15:$C$289,$C56)</f>
        <v>0</v>
      </c>
      <c r="BF56" s="649">
        <f>-SUMIFS('F3 Änderungen ER'!$F$15:$F$289,'F3 Änderungen ER'!$B$15:$B$289,BC$7,'F3 Änderungen ER'!$C$15:$C$289,$C56)</f>
        <v>0</v>
      </c>
      <c r="BG56" s="649">
        <f>-SUMIFS('F3 Änderungen ER'!$G$15:$G$289,'F3 Änderungen ER'!$B$15:$B$289,BC$7,'F3 Änderungen ER'!$C$15:$C$289,$C56)</f>
        <v>0</v>
      </c>
      <c r="BH56" s="649">
        <f>-SUMIFS('F3 Änderungen ER'!$H$15:$H$289,'F3 Änderungen ER'!$B$15:$B$289,BC$7,'F3 Änderungen ER'!$C$15:$C$289,$C56)</f>
        <v>0</v>
      </c>
      <c r="BI56" s="595">
        <f>-SUMIFS('F3 Änderungen ER'!$I$15:$I$289,'F3 Änderungen ER'!$B$15:$B$289,BC$7,'F3 Änderungen ER'!$C$15:$C$289,$C56)</f>
        <v>0</v>
      </c>
    </row>
    <row r="57" spans="2:62" ht="11.1" customHeight="1">
      <c r="B57" s="374">
        <v>47</v>
      </c>
      <c r="C57" s="383"/>
      <c r="D57" s="1412" t="s">
        <v>25</v>
      </c>
      <c r="E57" s="1412"/>
      <c r="F57" s="1413"/>
      <c r="G57" s="420"/>
      <c r="H57" s="421"/>
      <c r="I57" s="422">
        <f t="shared" si="31"/>
        <v>0</v>
      </c>
      <c r="J57" s="420">
        <f t="shared" si="32"/>
        <v>0</v>
      </c>
      <c r="K57" s="420">
        <f t="shared" si="33"/>
        <v>0</v>
      </c>
      <c r="L57" s="420">
        <f t="shared" si="34"/>
        <v>0</v>
      </c>
      <c r="M57" s="423">
        <f t="shared" si="35"/>
        <v>0</v>
      </c>
      <c r="N57" s="602" t="str">
        <f t="shared" si="30"/>
        <v/>
      </c>
      <c r="O57" s="420"/>
      <c r="P57" s="421"/>
      <c r="Q57" s="670">
        <f>-SUMIFS('F3 Änderungen ER'!$E$15:$E$289,'F3 Änderungen ER'!$B$15:$B$289,O$7,'F3 Änderungen ER'!$C$15:$C$289,$B57)</f>
        <v>0</v>
      </c>
      <c r="R57" s="681">
        <f>-SUMIFS('F3 Änderungen ER'!$F$15:$F$289,'F3 Änderungen ER'!$B$15:$B$289,O$7,'F3 Änderungen ER'!$C$15:$C$289,$B57)</f>
        <v>0</v>
      </c>
      <c r="S57" s="671">
        <f>-SUMIFS('F3 Änderungen ER'!$G$15:$G$289,'F3 Änderungen ER'!$B$15:$B$289,O$7,'F3 Änderungen ER'!$C$15:$C$289,$B57)</f>
        <v>0</v>
      </c>
      <c r="T57" s="671">
        <f>-SUMIFS('F3 Änderungen ER'!$H$15:$H$289,'F3 Änderungen ER'!$B$15:$B$289,O$7,'F3 Änderungen ER'!$C$15:$C$289,$B57)</f>
        <v>0</v>
      </c>
      <c r="U57" s="671">
        <f>-SUMIFS('F3 Änderungen ER'!$I$15:$I$289,'F3 Änderungen ER'!$B$15:$B$289,O$7,'F3 Änderungen ER'!$C$15:$C$289,$B57)</f>
        <v>0</v>
      </c>
      <c r="W57" s="420"/>
      <c r="X57" s="421"/>
      <c r="Y57" s="670">
        <f>-SUMIFS('F3 Änderungen ER'!$E$15:$E$289,'F3 Änderungen ER'!$B$15:$B$289,W$7,'F3 Änderungen ER'!$C$15:$C$289,$B57)</f>
        <v>0</v>
      </c>
      <c r="Z57" s="681">
        <f>-SUMIFS('F3 Änderungen ER'!$F$15:$F$289,'F3 Änderungen ER'!$B$15:$B$289,W$7,'F3 Änderungen ER'!$C$15:$C$289,$B57)</f>
        <v>0</v>
      </c>
      <c r="AA57" s="671">
        <f>-SUMIFS('F3 Änderungen ER'!$G$15:$G$289,'F3 Änderungen ER'!$B$15:$B$289,W$7,'F3 Änderungen ER'!$C$15:$C$289,$B57)</f>
        <v>0</v>
      </c>
      <c r="AB57" s="671">
        <f>-SUMIFS('F3 Änderungen ER'!$H$15:$H$289,'F3 Änderungen ER'!$B$15:$B$289,W$7,'F3 Änderungen ER'!$C$15:$C$289,$B57)</f>
        <v>0</v>
      </c>
      <c r="AC57" s="671">
        <f>-SUMIFS('F3 Änderungen ER'!$I$15:$I$289,'F3 Änderungen ER'!$B$15:$B$289,W$7,'F3 Änderungen ER'!$C$15:$C$289,$B57)</f>
        <v>0</v>
      </c>
      <c r="AE57" s="420"/>
      <c r="AF57" s="421"/>
      <c r="AG57" s="670">
        <f>-SUMIFS('F3 Änderungen ER'!$E$15:$E$289,'F3 Änderungen ER'!$B$15:$B$289,AE$7,'F3 Änderungen ER'!$C$15:$C$289,$B57)</f>
        <v>0</v>
      </c>
      <c r="AH57" s="681">
        <f>-SUMIFS('F3 Änderungen ER'!$F$15:$F$289,'F3 Änderungen ER'!$B$15:$B$289,AE$7,'F3 Änderungen ER'!$C$15:$C$289,$B57)</f>
        <v>0</v>
      </c>
      <c r="AI57" s="671">
        <f>-SUMIFS('F3 Änderungen ER'!$G$15:$G$289,'F3 Änderungen ER'!$B$15:$B$289,AE$7,'F3 Änderungen ER'!$C$15:$C$289,$B57)</f>
        <v>0</v>
      </c>
      <c r="AJ57" s="671">
        <f>-SUMIFS('F3 Änderungen ER'!$H$15:$H$289,'F3 Änderungen ER'!$B$15:$B$289,AE$7,'F3 Änderungen ER'!$C$15:$C$289,$B57)</f>
        <v>0</v>
      </c>
      <c r="AK57" s="671">
        <f>-SUMIFS('F3 Änderungen ER'!$I$15:$I$289,'F3 Änderungen ER'!$B$15:$B$289,AE$7,'F3 Änderungen ER'!$C$15:$C$289,$B57)</f>
        <v>0</v>
      </c>
      <c r="AM57" s="420"/>
      <c r="AN57" s="421"/>
      <c r="AO57" s="670">
        <f>-SUMIFS('F3 Änderungen ER'!$E$15:$E$289,'F3 Änderungen ER'!$B$15:$B$289,AM$7,'F3 Änderungen ER'!$C$15:$C$289,$B57)</f>
        <v>0</v>
      </c>
      <c r="AP57" s="681">
        <f>-SUMIFS('F3 Änderungen ER'!$F$15:$F$289,'F3 Änderungen ER'!$B$15:$B$289,AM$7,'F3 Änderungen ER'!$C$15:$C$289,$B57)</f>
        <v>0</v>
      </c>
      <c r="AQ57" s="671">
        <f>-SUMIFS('F3 Änderungen ER'!$G$15:$G$289,'F3 Änderungen ER'!$B$15:$B$289,AM$7,'F3 Änderungen ER'!$C$15:$C$289,$B57)</f>
        <v>0</v>
      </c>
      <c r="AR57" s="671">
        <f>-SUMIFS('F3 Änderungen ER'!$H$15:$H$289,'F3 Änderungen ER'!$B$15:$B$289,AM$7,'F3 Änderungen ER'!$C$15:$C$289,$B57)</f>
        <v>0</v>
      </c>
      <c r="AS57" s="671">
        <f>-SUMIFS('F3 Änderungen ER'!$I$15:$I$289,'F3 Änderungen ER'!$B$15:$B$289,AM$7,'F3 Änderungen ER'!$C$15:$C$289,$B57)</f>
        <v>0</v>
      </c>
      <c r="AU57" s="420"/>
      <c r="AV57" s="421"/>
      <c r="AW57" s="670">
        <f>-SUMIFS('F3 Änderungen ER'!$E$15:$E$289,'F3 Änderungen ER'!$B$15:$B$289,AU$7,'F3 Änderungen ER'!$C$15:$C$289,$B57)</f>
        <v>0</v>
      </c>
      <c r="AX57" s="681">
        <f>-SUMIFS('F3 Änderungen ER'!$F$15:$F$289,'F3 Änderungen ER'!$B$15:$B$289,AU$7,'F3 Änderungen ER'!$C$15:$C$289,$B57)</f>
        <v>0</v>
      </c>
      <c r="AY57" s="671">
        <f>-SUMIFS('F3 Änderungen ER'!$G$15:$G$289,'F3 Änderungen ER'!$B$15:$B$289,AU$7,'F3 Änderungen ER'!$C$15:$C$289,$B57)</f>
        <v>0</v>
      </c>
      <c r="AZ57" s="671">
        <f>-SUMIFS('F3 Änderungen ER'!$H$15:$H$289,'F3 Änderungen ER'!$B$15:$B$289,AU$7,'F3 Änderungen ER'!$C$15:$C$289,$B57)</f>
        <v>0</v>
      </c>
      <c r="BA57" s="671">
        <f>-SUMIFS('F3 Änderungen ER'!$I$15:$I$289,'F3 Änderungen ER'!$B$15:$B$289,AU$7,'F3 Änderungen ER'!$C$15:$C$289,$B57)</f>
        <v>0</v>
      </c>
      <c r="BC57" s="420"/>
      <c r="BD57" s="421"/>
      <c r="BE57" s="670">
        <f>-SUMIFS('F3 Änderungen ER'!$E$15:$E$289,'F3 Änderungen ER'!$B$15:$B$289,BC$7,'F3 Änderungen ER'!$C$15:$C$289,$B57)</f>
        <v>0</v>
      </c>
      <c r="BF57" s="681">
        <f>-SUMIFS('F3 Änderungen ER'!$F$15:$F$289,'F3 Änderungen ER'!$B$15:$B$289,BC$7,'F3 Änderungen ER'!$C$15:$C$289,$B57)</f>
        <v>0</v>
      </c>
      <c r="BG57" s="671">
        <f>-SUMIFS('F3 Änderungen ER'!$G$15:$G$289,'F3 Änderungen ER'!$B$15:$B$289,BC$7,'F3 Änderungen ER'!$C$15:$C$289,$B57)</f>
        <v>0</v>
      </c>
      <c r="BH57" s="671">
        <f>-SUMIFS('F3 Änderungen ER'!$H$15:$H$289,'F3 Änderungen ER'!$B$15:$B$289,BC$7,'F3 Änderungen ER'!$C$15:$C$289,$B57)</f>
        <v>0</v>
      </c>
      <c r="BI57" s="671">
        <f>-SUMIFS('F3 Änderungen ER'!$I$15:$I$289,'F3 Änderungen ER'!$B$15:$B$289,BC$7,'F3 Änderungen ER'!$C$15:$C$289,$B57)</f>
        <v>0</v>
      </c>
    </row>
    <row r="58" spans="2:62" s="660" customFormat="1" ht="11.1" customHeight="1">
      <c r="B58" s="661">
        <v>48</v>
      </c>
      <c r="C58" s="667"/>
      <c r="D58" s="1428" t="s">
        <v>97</v>
      </c>
      <c r="E58" s="1428"/>
      <c r="F58" s="1429"/>
      <c r="G58" s="420"/>
      <c r="H58" s="421"/>
      <c r="I58" s="422">
        <f t="shared" si="31"/>
        <v>0</v>
      </c>
      <c r="J58" s="420">
        <f t="shared" si="32"/>
        <v>0</v>
      </c>
      <c r="K58" s="420">
        <f t="shared" si="33"/>
        <v>0</v>
      </c>
      <c r="L58" s="420">
        <f t="shared" si="34"/>
        <v>0</v>
      </c>
      <c r="M58" s="423">
        <f t="shared" si="35"/>
        <v>0</v>
      </c>
      <c r="N58" s="602" t="str">
        <f t="shared" si="30"/>
        <v/>
      </c>
      <c r="O58" s="420"/>
      <c r="P58" s="421"/>
      <c r="Q58" s="670">
        <f>-SUMIFS('F3 Änderungen ER'!$E$15:$E$289,'F3 Änderungen ER'!$B$15:$B$289,O$7,'F3 Änderungen ER'!$C$15:$C$289,$B58)</f>
        <v>0</v>
      </c>
      <c r="R58" s="681">
        <f>-SUMIFS('F3 Änderungen ER'!$F$15:$F$289,'F3 Änderungen ER'!$B$15:$B$289,O$7,'F3 Änderungen ER'!$C$15:$C$289,$B58)</f>
        <v>0</v>
      </c>
      <c r="S58" s="671">
        <f>-SUMIFS('F3 Änderungen ER'!$G$15:$G$289,'F3 Änderungen ER'!$B$15:$B$289,O$7,'F3 Änderungen ER'!$C$15:$C$289,$B58)</f>
        <v>0</v>
      </c>
      <c r="T58" s="671">
        <f>-SUMIFS('F3 Änderungen ER'!$H$15:$H$289,'F3 Änderungen ER'!$B$15:$B$289,O$7,'F3 Änderungen ER'!$C$15:$C$289,$B58)</f>
        <v>0</v>
      </c>
      <c r="U58" s="671">
        <f>-SUMIFS('F3 Änderungen ER'!$I$15:$I$289,'F3 Änderungen ER'!$B$15:$B$289,O$7,'F3 Änderungen ER'!$C$15:$C$289,$B58)</f>
        <v>0</v>
      </c>
      <c r="V58" s="86"/>
      <c r="W58" s="420"/>
      <c r="X58" s="421"/>
      <c r="Y58" s="670">
        <f>-SUMIFS('F3 Änderungen ER'!$E$15:$E$289,'F3 Änderungen ER'!$B$15:$B$289,W$7,'F3 Änderungen ER'!$C$15:$C$289,$B58)</f>
        <v>0</v>
      </c>
      <c r="Z58" s="681">
        <f>-SUMIFS('F3 Änderungen ER'!$F$15:$F$289,'F3 Änderungen ER'!$B$15:$B$289,W$7,'F3 Änderungen ER'!$C$15:$C$289,$B58)</f>
        <v>0</v>
      </c>
      <c r="AA58" s="671">
        <f>-SUMIFS('F3 Änderungen ER'!$G$15:$G$289,'F3 Änderungen ER'!$B$15:$B$289,W$7,'F3 Änderungen ER'!$C$15:$C$289,$B58)</f>
        <v>0</v>
      </c>
      <c r="AB58" s="671">
        <f>-SUMIFS('F3 Änderungen ER'!$H$15:$H$289,'F3 Änderungen ER'!$B$15:$B$289,W$7,'F3 Änderungen ER'!$C$15:$C$289,$B58)</f>
        <v>0</v>
      </c>
      <c r="AC58" s="671">
        <f>-SUMIFS('F3 Änderungen ER'!$I$15:$I$289,'F3 Änderungen ER'!$B$15:$B$289,W$7,'F3 Änderungen ER'!$C$15:$C$289,$B58)</f>
        <v>0</v>
      </c>
      <c r="AD58" s="86"/>
      <c r="AE58" s="420"/>
      <c r="AF58" s="421"/>
      <c r="AG58" s="670">
        <f>-SUMIFS('F3 Änderungen ER'!$E$15:$E$289,'F3 Änderungen ER'!$B$15:$B$289,AE$7,'F3 Änderungen ER'!$C$15:$C$289,$B58)</f>
        <v>0</v>
      </c>
      <c r="AH58" s="681">
        <f>-SUMIFS('F3 Änderungen ER'!$F$15:$F$289,'F3 Änderungen ER'!$B$15:$B$289,AE$7,'F3 Änderungen ER'!$C$15:$C$289,$B58)</f>
        <v>0</v>
      </c>
      <c r="AI58" s="671">
        <f>-SUMIFS('F3 Änderungen ER'!$G$15:$G$289,'F3 Änderungen ER'!$B$15:$B$289,AE$7,'F3 Änderungen ER'!$C$15:$C$289,$B58)</f>
        <v>0</v>
      </c>
      <c r="AJ58" s="671">
        <f>-SUMIFS('F3 Änderungen ER'!$H$15:$H$289,'F3 Änderungen ER'!$B$15:$B$289,AE$7,'F3 Änderungen ER'!$C$15:$C$289,$B58)</f>
        <v>0</v>
      </c>
      <c r="AK58" s="671">
        <f>-SUMIFS('F3 Änderungen ER'!$I$15:$I$289,'F3 Änderungen ER'!$B$15:$B$289,AE$7,'F3 Änderungen ER'!$C$15:$C$289,$B58)</f>
        <v>0</v>
      </c>
      <c r="AL58" s="86"/>
      <c r="AM58" s="420"/>
      <c r="AN58" s="421"/>
      <c r="AO58" s="670">
        <f>-SUMIFS('F3 Änderungen ER'!$E$15:$E$289,'F3 Änderungen ER'!$B$15:$B$289,AM$7,'F3 Änderungen ER'!$C$15:$C$289,$B58)</f>
        <v>0</v>
      </c>
      <c r="AP58" s="681">
        <f>-SUMIFS('F3 Änderungen ER'!$F$15:$F$289,'F3 Änderungen ER'!$B$15:$B$289,AM$7,'F3 Änderungen ER'!$C$15:$C$289,$B58)</f>
        <v>0</v>
      </c>
      <c r="AQ58" s="671">
        <f>-SUMIFS('F3 Änderungen ER'!$G$15:$G$289,'F3 Änderungen ER'!$B$15:$B$289,AM$7,'F3 Änderungen ER'!$C$15:$C$289,$B58)</f>
        <v>0</v>
      </c>
      <c r="AR58" s="671">
        <f>-SUMIFS('F3 Änderungen ER'!$H$15:$H$289,'F3 Änderungen ER'!$B$15:$B$289,AM$7,'F3 Änderungen ER'!$C$15:$C$289,$B58)</f>
        <v>0</v>
      </c>
      <c r="AS58" s="671">
        <f>-SUMIFS('F3 Änderungen ER'!$I$15:$I$289,'F3 Änderungen ER'!$B$15:$B$289,AM$7,'F3 Änderungen ER'!$C$15:$C$289,$B58)</f>
        <v>0</v>
      </c>
      <c r="AT58" s="86"/>
      <c r="AU58" s="420"/>
      <c r="AV58" s="421"/>
      <c r="AW58" s="670">
        <f>-SUMIFS('F3 Änderungen ER'!$E$15:$E$289,'F3 Änderungen ER'!$B$15:$B$289,AU$7,'F3 Änderungen ER'!$C$15:$C$289,$B58)</f>
        <v>0</v>
      </c>
      <c r="AX58" s="681">
        <f>-SUMIFS('F3 Änderungen ER'!$F$15:$F$289,'F3 Änderungen ER'!$B$15:$B$289,AU$7,'F3 Änderungen ER'!$C$15:$C$289,$B58)</f>
        <v>0</v>
      </c>
      <c r="AY58" s="671">
        <f>-SUMIFS('F3 Änderungen ER'!$G$15:$G$289,'F3 Änderungen ER'!$B$15:$B$289,AU$7,'F3 Änderungen ER'!$C$15:$C$289,$B58)</f>
        <v>0</v>
      </c>
      <c r="AZ58" s="671">
        <f>-SUMIFS('F3 Änderungen ER'!$H$15:$H$289,'F3 Änderungen ER'!$B$15:$B$289,AU$7,'F3 Änderungen ER'!$C$15:$C$289,$B58)</f>
        <v>0</v>
      </c>
      <c r="BA58" s="671">
        <f>-SUMIFS('F3 Änderungen ER'!$I$15:$I$289,'F3 Änderungen ER'!$B$15:$B$289,AU$7,'F3 Änderungen ER'!$C$15:$C$289,$B58)</f>
        <v>0</v>
      </c>
      <c r="BB58" s="86"/>
      <c r="BC58" s="420"/>
      <c r="BD58" s="421"/>
      <c r="BE58" s="670">
        <f>-SUMIFS('F3 Änderungen ER'!$E$15:$E$289,'F3 Änderungen ER'!$B$15:$B$289,BC$7,'F3 Änderungen ER'!$C$15:$C$289,$B58)</f>
        <v>0</v>
      </c>
      <c r="BF58" s="681">
        <f>-SUMIFS('F3 Änderungen ER'!$F$15:$F$289,'F3 Änderungen ER'!$B$15:$B$289,BC$7,'F3 Änderungen ER'!$C$15:$C$289,$B58)</f>
        <v>0</v>
      </c>
      <c r="BG58" s="671">
        <f>-SUMIFS('F3 Änderungen ER'!$G$15:$G$289,'F3 Änderungen ER'!$B$15:$B$289,BC$7,'F3 Änderungen ER'!$C$15:$C$289,$B58)</f>
        <v>0</v>
      </c>
      <c r="BH58" s="671">
        <f>-SUMIFS('F3 Änderungen ER'!$H$15:$H$289,'F3 Änderungen ER'!$B$15:$B$289,BC$7,'F3 Änderungen ER'!$C$15:$C$289,$B58)</f>
        <v>0</v>
      </c>
      <c r="BI58" s="671">
        <f>-SUMIFS('F3 Änderungen ER'!$I$15:$I$289,'F3 Änderungen ER'!$B$15:$B$289,BC$7,'F3 Änderungen ER'!$C$15:$C$289,$B58)</f>
        <v>0</v>
      </c>
      <c r="BJ58" s="86"/>
    </row>
    <row r="59" spans="2:62" s="644" customFormat="1" ht="11.1" customHeight="1">
      <c r="B59" s="666"/>
      <c r="C59" s="603">
        <v>489</v>
      </c>
      <c r="D59" s="635" t="s">
        <v>200</v>
      </c>
      <c r="E59" s="635"/>
      <c r="F59" s="658"/>
      <c r="G59" s="646"/>
      <c r="H59" s="647"/>
      <c r="I59" s="648">
        <f t="shared" si="31"/>
        <v>0</v>
      </c>
      <c r="J59" s="649">
        <f t="shared" si="32"/>
        <v>0</v>
      </c>
      <c r="K59" s="649">
        <f t="shared" si="33"/>
        <v>0</v>
      </c>
      <c r="L59" s="649">
        <f t="shared" si="34"/>
        <v>0</v>
      </c>
      <c r="M59" s="595">
        <f t="shared" si="35"/>
        <v>0</v>
      </c>
      <c r="N59" s="602" t="str">
        <f t="shared" si="30"/>
        <v/>
      </c>
      <c r="O59" s="646"/>
      <c r="P59" s="647"/>
      <c r="Q59" s="648">
        <f>-SUMIFS('F3 Änderungen ER'!$E$15:$E$289,'F3 Änderungen ER'!$B$15:$B$289,O$7,'F3 Änderungen ER'!$C$15:$C$289,$C59)</f>
        <v>0</v>
      </c>
      <c r="R59" s="649">
        <f>-SUMIFS('F3 Änderungen ER'!$F$15:$F$289,'F3 Änderungen ER'!$B$15:$B$289,O$7,'F3 Änderungen ER'!$C$15:$C$289,$C59)</f>
        <v>0</v>
      </c>
      <c r="S59" s="649">
        <f>-SUMIFS('F3 Änderungen ER'!$G$15:$G$289,'F3 Änderungen ER'!$B$15:$B$289,O$7,'F3 Änderungen ER'!$C$15:$C$289,$C59)</f>
        <v>0</v>
      </c>
      <c r="T59" s="649">
        <f>-SUMIFS('F3 Änderungen ER'!$H$15:$H$289,'F3 Änderungen ER'!$B$15:$B$289,O$7,'F3 Änderungen ER'!$C$15:$C$289,$C59)</f>
        <v>0</v>
      </c>
      <c r="U59" s="595">
        <f>-SUMIFS('F3 Änderungen ER'!$I$15:$I$289,'F3 Änderungen ER'!$B$15:$B$289,O$7,'F3 Änderungen ER'!$C$15:$C$289,$C59)</f>
        <v>0</v>
      </c>
      <c r="V59" s="665"/>
      <c r="W59" s="646"/>
      <c r="X59" s="647"/>
      <c r="Y59" s="648">
        <f>-SUMIFS('F3 Änderungen ER'!$E$15:$E$289,'F3 Änderungen ER'!$B$15:$B$289,W$7,'F3 Änderungen ER'!$C$15:$C$289,$C59)</f>
        <v>0</v>
      </c>
      <c r="Z59" s="649">
        <f>-SUMIFS('F3 Änderungen ER'!$F$15:$F$289,'F3 Änderungen ER'!$B$15:$B$289,W$7,'F3 Änderungen ER'!$C$15:$C$289,$C59)</f>
        <v>0</v>
      </c>
      <c r="AA59" s="649">
        <f>-SUMIFS('F3 Änderungen ER'!$G$15:$G$289,'F3 Änderungen ER'!$B$15:$B$289,W$7,'F3 Änderungen ER'!$C$15:$C$289,$C59)</f>
        <v>0</v>
      </c>
      <c r="AB59" s="649">
        <f>-SUMIFS('F3 Änderungen ER'!$H$15:$H$289,'F3 Änderungen ER'!$B$15:$B$289,W$7,'F3 Änderungen ER'!$C$15:$C$289,$C59)</f>
        <v>0</v>
      </c>
      <c r="AC59" s="595">
        <f>-SUMIFS('F3 Änderungen ER'!$I$15:$I$289,'F3 Änderungen ER'!$B$15:$B$289,W$7,'F3 Änderungen ER'!$C$15:$C$289,$C59)</f>
        <v>0</v>
      </c>
      <c r="AD59" s="665"/>
      <c r="AE59" s="646"/>
      <c r="AF59" s="647"/>
      <c r="AG59" s="648">
        <f>-SUMIFS('F3 Änderungen ER'!$E$15:$E$289,'F3 Änderungen ER'!$B$15:$B$289,AE$7,'F3 Änderungen ER'!$C$15:$C$289,$C59)</f>
        <v>0</v>
      </c>
      <c r="AH59" s="649">
        <f>-SUMIFS('F3 Änderungen ER'!$F$15:$F$289,'F3 Änderungen ER'!$B$15:$B$289,AE$7,'F3 Änderungen ER'!$C$15:$C$289,$C59)</f>
        <v>0</v>
      </c>
      <c r="AI59" s="649">
        <f>-SUMIFS('F3 Änderungen ER'!$G$15:$G$289,'F3 Änderungen ER'!$B$15:$B$289,AE$7,'F3 Änderungen ER'!$C$15:$C$289,$C59)</f>
        <v>0</v>
      </c>
      <c r="AJ59" s="649">
        <f>-SUMIFS('F3 Änderungen ER'!$H$15:$H$289,'F3 Änderungen ER'!$B$15:$B$289,AE$7,'F3 Änderungen ER'!$C$15:$C$289,$C59)</f>
        <v>0</v>
      </c>
      <c r="AK59" s="595">
        <f>-SUMIFS('F3 Änderungen ER'!$I$15:$I$289,'F3 Änderungen ER'!$B$15:$B$289,AE$7,'F3 Änderungen ER'!$C$15:$C$289,$C59)</f>
        <v>0</v>
      </c>
      <c r="AL59" s="665"/>
      <c r="AM59" s="646"/>
      <c r="AN59" s="647"/>
      <c r="AO59" s="648">
        <f>-SUMIFS('F3 Änderungen ER'!$E$15:$E$289,'F3 Änderungen ER'!$B$15:$B$289,AM$7,'F3 Änderungen ER'!$C$15:$C$289,$C59)</f>
        <v>0</v>
      </c>
      <c r="AP59" s="649">
        <f>-SUMIFS('F3 Änderungen ER'!$F$15:$F$289,'F3 Änderungen ER'!$B$15:$B$289,AM$7,'F3 Änderungen ER'!$C$15:$C$289,$C59)</f>
        <v>0</v>
      </c>
      <c r="AQ59" s="649">
        <f>-SUMIFS('F3 Änderungen ER'!$G$15:$G$289,'F3 Änderungen ER'!$B$15:$B$289,AM$7,'F3 Änderungen ER'!$C$15:$C$289,$C59)</f>
        <v>0</v>
      </c>
      <c r="AR59" s="649">
        <f>-SUMIFS('F3 Änderungen ER'!$H$15:$H$289,'F3 Änderungen ER'!$B$15:$B$289,AM$7,'F3 Änderungen ER'!$C$15:$C$289,$C59)</f>
        <v>0</v>
      </c>
      <c r="AS59" s="595">
        <f>-SUMIFS('F3 Änderungen ER'!$I$15:$I$289,'F3 Änderungen ER'!$B$15:$B$289,AM$7,'F3 Änderungen ER'!$C$15:$C$289,$C59)</f>
        <v>0</v>
      </c>
      <c r="AT59" s="665"/>
      <c r="AU59" s="646"/>
      <c r="AV59" s="647"/>
      <c r="AW59" s="648">
        <f>-SUMIFS('F3 Änderungen ER'!$E$15:$E$289,'F3 Änderungen ER'!$B$15:$B$289,AU$7,'F3 Änderungen ER'!$C$15:$C$289,$C59)</f>
        <v>0</v>
      </c>
      <c r="AX59" s="649">
        <f>-SUMIFS('F3 Änderungen ER'!$F$15:$F$289,'F3 Änderungen ER'!$B$15:$B$289,AU$7,'F3 Änderungen ER'!$C$15:$C$289,$C59)</f>
        <v>0</v>
      </c>
      <c r="AY59" s="649">
        <f>-SUMIFS('F3 Änderungen ER'!$G$15:$G$289,'F3 Änderungen ER'!$B$15:$B$289,AU$7,'F3 Änderungen ER'!$C$15:$C$289,$C59)</f>
        <v>0</v>
      </c>
      <c r="AZ59" s="649">
        <f>-SUMIFS('F3 Änderungen ER'!$H$15:$H$289,'F3 Änderungen ER'!$B$15:$B$289,AU$7,'F3 Änderungen ER'!$C$15:$C$289,$C59)</f>
        <v>0</v>
      </c>
      <c r="BA59" s="595">
        <f>-SUMIFS('F3 Änderungen ER'!$I$15:$I$289,'F3 Änderungen ER'!$B$15:$B$289,AU$7,'F3 Änderungen ER'!$C$15:$C$289,$C59)</f>
        <v>0</v>
      </c>
      <c r="BB59" s="665"/>
      <c r="BC59" s="646"/>
      <c r="BD59" s="647"/>
      <c r="BE59" s="648">
        <f>-SUMIFS('F3 Änderungen ER'!$E$15:$E$289,'F3 Änderungen ER'!$B$15:$B$289,BC$7,'F3 Änderungen ER'!$C$15:$C$289,$C59)</f>
        <v>0</v>
      </c>
      <c r="BF59" s="649">
        <f>-SUMIFS('F3 Änderungen ER'!$F$15:$F$289,'F3 Änderungen ER'!$B$15:$B$289,BC$7,'F3 Änderungen ER'!$C$15:$C$289,$C59)</f>
        <v>0</v>
      </c>
      <c r="BG59" s="649">
        <f>-SUMIFS('F3 Änderungen ER'!$G$15:$G$289,'F3 Änderungen ER'!$B$15:$B$289,BC$7,'F3 Änderungen ER'!$C$15:$C$289,$C59)</f>
        <v>0</v>
      </c>
      <c r="BH59" s="649">
        <f>-SUMIFS('F3 Änderungen ER'!$H$15:$H$289,'F3 Änderungen ER'!$B$15:$B$289,BC$7,'F3 Änderungen ER'!$C$15:$C$289,$C59)</f>
        <v>0</v>
      </c>
      <c r="BI59" s="595">
        <f>-SUMIFS('F3 Änderungen ER'!$I$15:$I$289,'F3 Änderungen ER'!$B$15:$B$289,BC$7,'F3 Änderungen ER'!$C$15:$C$289,$C59)</f>
        <v>0</v>
      </c>
      <c r="BJ59" s="665"/>
    </row>
    <row r="60" spans="2:62" ht="11.1" customHeight="1">
      <c r="B60" s="374">
        <v>49</v>
      </c>
      <c r="C60" s="383"/>
      <c r="D60" s="637" t="s">
        <v>175</v>
      </c>
      <c r="E60" s="637"/>
      <c r="F60" s="638"/>
      <c r="G60" s="420"/>
      <c r="H60" s="421"/>
      <c r="I60" s="422">
        <f t="shared" si="31"/>
        <v>0</v>
      </c>
      <c r="J60" s="420">
        <f t="shared" si="32"/>
        <v>0</v>
      </c>
      <c r="K60" s="420">
        <f t="shared" si="33"/>
        <v>0</v>
      </c>
      <c r="L60" s="420">
        <f t="shared" si="34"/>
        <v>0</v>
      </c>
      <c r="M60" s="423">
        <f t="shared" si="35"/>
        <v>0</v>
      </c>
      <c r="N60" s="602" t="str">
        <f t="shared" si="30"/>
        <v/>
      </c>
      <c r="O60" s="420"/>
      <c r="P60" s="421"/>
      <c r="Q60" s="675">
        <f>SUMIFS('F3a Änderungen Verrechnungen'!$E$16:$E$500,'F3a Änderungen Verrechnungen'!$C$16:$C$500,O$7)+SUMIFS('F3 Änderungen ER'!$E$15:$E$289,'F3 Änderungen ER'!$B$15:$B$289,O$7,'F3 Änderungen ER'!$C$15:$C$289,$B60)</f>
        <v>0</v>
      </c>
      <c r="R60" s="423">
        <f>SUMIFS('F3a Änderungen Verrechnungen'!$F$16:$F$500,'F3a Änderungen Verrechnungen'!$C$16:$C$500,O$7)+SUMIFS('F3 Änderungen ER'!$F$15:$F$289,'F3 Änderungen ER'!$B$15:$B$289,O$7,'F3 Änderungen ER'!$C$15:$C$289,$B60)</f>
        <v>0</v>
      </c>
      <c r="S60" s="423">
        <f>SUMIFS('F3a Änderungen Verrechnungen'!$G$16:$G$500,'F3a Änderungen Verrechnungen'!$C$16:$C$500,O$7)+SUMIFS('F3 Änderungen ER'!$G$15:$G$289,'F3 Änderungen ER'!$B$15:$B$289,O$7,'F3 Änderungen ER'!$C$15:$C$289,$B60)</f>
        <v>0</v>
      </c>
      <c r="T60" s="423">
        <f>SUMIFS('F3a Änderungen Verrechnungen'!$H$16:$H$500,'F3a Änderungen Verrechnungen'!$C$16:$C$500,O$7)+SUMIFS('F3 Änderungen ER'!$H$15:$H$289,'F3 Änderungen ER'!$B$15:$B$289,O$7,'F3 Änderungen ER'!$C$15:$C$289,$B60)</f>
        <v>0</v>
      </c>
      <c r="U60" s="423">
        <f>SUMIFS('F3a Änderungen Verrechnungen'!$I$16:$I$500,'F3a Änderungen Verrechnungen'!$C$16:$C$500,O$7)+SUMIFS('F3 Änderungen ER'!$I$15:$I$289,'F3 Änderungen ER'!$B$15:$B$289,O$7,'F3 Änderungen ER'!$C$15:$C$289,$B60)</f>
        <v>0</v>
      </c>
      <c r="W60" s="420"/>
      <c r="X60" s="421"/>
      <c r="Y60" s="675">
        <f>SUMIFS('F3a Änderungen Verrechnungen'!$E$16:$E$500,'F3a Änderungen Verrechnungen'!$C$16:$C$500,W$7)+SUMIFS('F3 Änderungen ER'!$E$15:$E$289,'F3 Änderungen ER'!$B$15:$B$289,W$7,'F3 Änderungen ER'!$C$15:$C$289,$B60)</f>
        <v>0</v>
      </c>
      <c r="Z60" s="423">
        <f>SUMIFS('F3a Änderungen Verrechnungen'!$F$16:$F$500,'F3a Änderungen Verrechnungen'!$C$16:$C$500,W$7)+SUMIFS('F3 Änderungen ER'!$F$15:$F$289,'F3 Änderungen ER'!$B$15:$B$289,W$7,'F3 Änderungen ER'!$C$15:$C$289,$B60)</f>
        <v>0</v>
      </c>
      <c r="AA60" s="423">
        <f>SUMIFS('F3a Änderungen Verrechnungen'!$G$16:$G$500,'F3a Änderungen Verrechnungen'!$C$16:$C$500,W$7)+SUMIFS('F3 Änderungen ER'!$G$15:$G$289,'F3 Änderungen ER'!$B$15:$B$289,W$7,'F3 Änderungen ER'!$C$15:$C$289,$B60)</f>
        <v>0</v>
      </c>
      <c r="AB60" s="423">
        <f>SUMIFS('F3a Änderungen Verrechnungen'!$H$16:$H$500,'F3a Änderungen Verrechnungen'!$C$16:$C$500,W$7)+SUMIFS('F3 Änderungen ER'!$H$15:$H$289,'F3 Änderungen ER'!$B$15:$B$289,W$7,'F3 Änderungen ER'!$C$15:$C$289,$B60)</f>
        <v>0</v>
      </c>
      <c r="AC60" s="423">
        <f>SUMIFS('F3a Änderungen Verrechnungen'!$I$16:$I$500,'F3a Änderungen Verrechnungen'!$C$16:$C$500,W$7)+SUMIFS('F3 Änderungen ER'!$I$15:$I$289,'F3 Änderungen ER'!$B$15:$B$289,W$7,'F3 Änderungen ER'!$C$15:$C$289,$B60)</f>
        <v>0</v>
      </c>
      <c r="AE60" s="420"/>
      <c r="AF60" s="421"/>
      <c r="AG60" s="675">
        <f>SUMIFS('F3a Änderungen Verrechnungen'!$E$16:$E$500,'F3a Änderungen Verrechnungen'!$C$16:$C$500,AE$7)+SUMIFS('F3 Änderungen ER'!$E$15:$E$289,'F3 Änderungen ER'!$B$15:$B$289,AE$7,'F3 Änderungen ER'!$C$15:$C$289,$B60)</f>
        <v>0</v>
      </c>
      <c r="AH60" s="423">
        <f>SUMIFS('F3a Änderungen Verrechnungen'!$F$16:$F$500,'F3a Änderungen Verrechnungen'!$C$16:$C$500,AE$7)+SUMIFS('F3 Änderungen ER'!$F$15:$F$289,'F3 Änderungen ER'!$B$15:$B$289,AE$7,'F3 Änderungen ER'!$C$15:$C$289,$B60)</f>
        <v>0</v>
      </c>
      <c r="AI60" s="423">
        <f>SUMIFS('F3a Änderungen Verrechnungen'!$G$16:$G$500,'F3a Änderungen Verrechnungen'!$C$16:$C$500,AE$7)+SUMIFS('F3 Änderungen ER'!$G$15:$G$289,'F3 Änderungen ER'!$B$15:$B$289,AE$7,'F3 Änderungen ER'!$C$15:$C$289,$B60)</f>
        <v>0</v>
      </c>
      <c r="AJ60" s="423">
        <f>SUMIFS('F3a Änderungen Verrechnungen'!$H$16:$H$500,'F3a Änderungen Verrechnungen'!$C$16:$C$500,AE$7)+SUMIFS('F3 Änderungen ER'!$H$15:$H$289,'F3 Änderungen ER'!$B$15:$B$289,AE$7,'F3 Änderungen ER'!$C$15:$C$289,$B60)</f>
        <v>0</v>
      </c>
      <c r="AK60" s="423">
        <f>SUMIFS('F3a Änderungen Verrechnungen'!$I$16:$I$500,'F3a Änderungen Verrechnungen'!$C$16:$C$500,AE$7)+SUMIFS('F3 Änderungen ER'!$I$15:$I$289,'F3 Änderungen ER'!$B$15:$B$289,AE$7,'F3 Änderungen ER'!$C$15:$C$289,$B60)</f>
        <v>0</v>
      </c>
      <c r="AM60" s="420"/>
      <c r="AN60" s="421"/>
      <c r="AO60" s="675">
        <f>SUMIFS('F3a Änderungen Verrechnungen'!$E$16:$E$500,'F3a Änderungen Verrechnungen'!$C$16:$C$500,AM$7)+SUMIFS('F3 Änderungen ER'!$E$15:$E$289,'F3 Änderungen ER'!$B$15:$B$289,AM$7,'F3 Änderungen ER'!$C$15:$C$289,$B60)</f>
        <v>0</v>
      </c>
      <c r="AP60" s="423">
        <f>SUMIFS('F3a Änderungen Verrechnungen'!$F$16:$F$500,'F3a Änderungen Verrechnungen'!$C$16:$C$500,AM$7)+SUMIFS('F3 Änderungen ER'!$F$15:$F$289,'F3 Änderungen ER'!$B$15:$B$289,AM$7,'F3 Änderungen ER'!$C$15:$C$289,$B60)</f>
        <v>0</v>
      </c>
      <c r="AQ60" s="423">
        <f>SUMIFS('F3a Änderungen Verrechnungen'!$G$16:$G$500,'F3a Änderungen Verrechnungen'!$C$16:$C$500,AM$7)+SUMIFS('F3 Änderungen ER'!$G$15:$G$289,'F3 Änderungen ER'!$B$15:$B$289,AM$7,'F3 Änderungen ER'!$C$15:$C$289,$B60)</f>
        <v>0</v>
      </c>
      <c r="AR60" s="423">
        <f>SUMIFS('F3a Änderungen Verrechnungen'!$H$16:$H$500,'F3a Änderungen Verrechnungen'!$C$16:$C$500,AM$7)+SUMIFS('F3 Änderungen ER'!$H$15:$H$289,'F3 Änderungen ER'!$B$15:$B$289,AM$7,'F3 Änderungen ER'!$C$15:$C$289,$B60)</f>
        <v>0</v>
      </c>
      <c r="AS60" s="423">
        <f>SUMIFS('F3a Änderungen Verrechnungen'!$I$16:$I$500,'F3a Änderungen Verrechnungen'!$C$16:$C$500,AM$7)+SUMIFS('F3 Änderungen ER'!$I$15:$I$289,'F3 Änderungen ER'!$B$15:$B$289,AM$7,'F3 Änderungen ER'!$C$15:$C$289,$B60)</f>
        <v>0</v>
      </c>
      <c r="AU60" s="420"/>
      <c r="AV60" s="421"/>
      <c r="AW60" s="675">
        <f>SUMIFS('F3a Änderungen Verrechnungen'!$E$16:$E$500,'F3a Änderungen Verrechnungen'!$C$16:$C$500,AU$7)+SUMIFS('F3 Änderungen ER'!$E$15:$E$289,'F3 Änderungen ER'!$B$15:$B$289,AU$7,'F3 Änderungen ER'!$C$15:$C$289,$B60)</f>
        <v>0</v>
      </c>
      <c r="AX60" s="423">
        <f>SUMIFS('F3a Änderungen Verrechnungen'!$F$16:$F$500,'F3a Änderungen Verrechnungen'!$C$16:$C$500,AU$7)+SUMIFS('F3 Änderungen ER'!$F$15:$F$289,'F3 Änderungen ER'!$B$15:$B$289,AU$7,'F3 Änderungen ER'!$C$15:$C$289,$B60)</f>
        <v>0</v>
      </c>
      <c r="AY60" s="423">
        <f>SUMIFS('F3a Änderungen Verrechnungen'!$G$16:$G$500,'F3a Änderungen Verrechnungen'!$C$16:$C$500,AU$7)+SUMIFS('F3 Änderungen ER'!$G$15:$G$289,'F3 Änderungen ER'!$B$15:$B$289,AU$7,'F3 Änderungen ER'!$C$15:$C$289,$B60)</f>
        <v>0</v>
      </c>
      <c r="AZ60" s="423">
        <f>SUMIFS('F3a Änderungen Verrechnungen'!$H$16:$H$500,'F3a Änderungen Verrechnungen'!$C$16:$C$500,AU$7)+SUMIFS('F3 Änderungen ER'!$H$15:$H$289,'F3 Änderungen ER'!$B$15:$B$289,AU$7,'F3 Änderungen ER'!$C$15:$C$289,$B60)</f>
        <v>0</v>
      </c>
      <c r="BA60" s="423">
        <f>SUMIFS('F3a Änderungen Verrechnungen'!$I$16:$I$500,'F3a Änderungen Verrechnungen'!$C$16:$C$500,AU$7)+SUMIFS('F3 Änderungen ER'!$I$15:$I$289,'F3 Änderungen ER'!$B$15:$B$289,AU$7,'F3 Änderungen ER'!$C$15:$C$289,$B60)</f>
        <v>0</v>
      </c>
      <c r="BC60" s="420"/>
      <c r="BD60" s="421"/>
      <c r="BE60" s="675">
        <f>SUMIFS('F3a Änderungen Verrechnungen'!$E$16:$E$500,'F3a Änderungen Verrechnungen'!$C$16:$C$500,BC$7)+SUMIFS('F3 Änderungen ER'!$E$15:$E$289,'F3 Änderungen ER'!$B$15:$B$289,BC$7,'F3 Änderungen ER'!$C$15:$C$289,$B60)</f>
        <v>0</v>
      </c>
      <c r="BF60" s="423">
        <f>SUMIFS('F3a Änderungen Verrechnungen'!$F$16:$F$500,'F3a Änderungen Verrechnungen'!$C$16:$C$500,BC$7)+SUMIFS('F3 Änderungen ER'!$F$15:$F$289,'F3 Änderungen ER'!$B$15:$B$289,BC$7,'F3 Änderungen ER'!$C$15:$C$289,$B60)</f>
        <v>0</v>
      </c>
      <c r="BG60" s="423">
        <f>SUMIFS('F3a Änderungen Verrechnungen'!$G$16:$G$500,'F3a Änderungen Verrechnungen'!$C$16:$C$500,BC$7)+SUMIFS('F3 Änderungen ER'!$G$15:$G$289,'F3 Änderungen ER'!$B$15:$B$289,BC$7,'F3 Änderungen ER'!$C$15:$C$289,$B60)</f>
        <v>0</v>
      </c>
      <c r="BH60" s="423">
        <f>SUMIFS('F3a Änderungen Verrechnungen'!$H$16:$H$500,'F3a Änderungen Verrechnungen'!$C$16:$C$500,BC$7)+SUMIFS('F3 Änderungen ER'!$H$15:$H$289,'F3 Änderungen ER'!$B$15:$B$289,BC$7,'F3 Änderungen ER'!$C$15:$C$289,$B60)</f>
        <v>0</v>
      </c>
      <c r="BI60" s="423">
        <f>SUMIFS('F3a Änderungen Verrechnungen'!$I$16:$I$500,'F3a Änderungen Verrechnungen'!$C$16:$C$500,BC$7)+SUMIFS('F3 Änderungen ER'!$I$15:$I$289,'F3 Änderungen ER'!$B$15:$B$289,BC$7,'F3 Änderungen ER'!$C$15:$C$289,$B60)</f>
        <v>0</v>
      </c>
    </row>
    <row r="61" spans="2:62" s="863" customFormat="1" ht="11.1" customHeight="1">
      <c r="B61" s="925"/>
      <c r="C61" s="926">
        <v>494</v>
      </c>
      <c r="D61" s="927"/>
      <c r="E61" s="1463" t="s">
        <v>151</v>
      </c>
      <c r="F61" s="1464"/>
      <c r="G61" s="921"/>
      <c r="H61" s="922"/>
      <c r="I61" s="923">
        <f t="shared" si="31"/>
        <v>27.572499999999994</v>
      </c>
      <c r="J61" s="698">
        <f t="shared" si="32"/>
        <v>71.187499999999986</v>
      </c>
      <c r="K61" s="698">
        <f t="shared" si="33"/>
        <v>111.89673106060604</v>
      </c>
      <c r="L61" s="698">
        <f t="shared" si="34"/>
        <v>129.97187121212121</v>
      </c>
      <c r="M61" s="698">
        <f t="shared" si="35"/>
        <v>127.05208712121211</v>
      </c>
      <c r="N61" s="924" t="str">
        <f t="shared" si="30"/>
        <v/>
      </c>
      <c r="O61" s="921"/>
      <c r="P61" s="922"/>
      <c r="Q61" s="696">
        <f>IF('F0a Konfiguration'!$C$25=O$7,SUMIFS($O$33:$PN$33,$O$11:$PN11,Q$11),0)</f>
        <v>0</v>
      </c>
      <c r="R61" s="697">
        <f>IF('F0a Konfiguration'!$C$25=O$7,SUMIFS($O$33:$PN$33,$O$11:$PN11,R$11),0)</f>
        <v>0</v>
      </c>
      <c r="S61" s="697">
        <f>IF('F0a Konfiguration'!$C$25=O$7,SUMIFS($O$33:$PN$33,$O$11:$PN11,S$11),0)</f>
        <v>0</v>
      </c>
      <c r="T61" s="697">
        <f>IF('F0a Konfiguration'!$C$25=O$7,SUMIFS($O$33:$PN$33,$O$11:$PN11,T$11),0)</f>
        <v>0</v>
      </c>
      <c r="U61" s="698">
        <f>IF('F0a Konfiguration'!$C$25=O$7,SUMIFS($O$33:$PN$33,$O$11:$PN11,U$11),0)</f>
        <v>0</v>
      </c>
      <c r="W61" s="921"/>
      <c r="X61" s="922"/>
      <c r="Y61" s="696">
        <f>IF('F0a Konfiguration'!$C$25=W$7,SUMIFS($O$33:$PN$33,$O$11:$PN11,Y$11),0)</f>
        <v>0</v>
      </c>
      <c r="Z61" s="697">
        <f>IF('F0a Konfiguration'!$C$25=W$7,SUMIFS($O$33:$PN$33,$O$11:$PN11,Z$11),0)</f>
        <v>0</v>
      </c>
      <c r="AA61" s="697">
        <f>IF('F0a Konfiguration'!$C$25=W$7,SUMIFS($O$33:$PN$33,$O$11:$PN11,AA$11),0)</f>
        <v>0</v>
      </c>
      <c r="AB61" s="697">
        <f>IF('F0a Konfiguration'!$C$25=W$7,SUMIFS($O$33:$PN$33,$O$11:$PN11,AB$11),0)</f>
        <v>0</v>
      </c>
      <c r="AC61" s="698">
        <f>IF('F0a Konfiguration'!$C$25=W$7,SUMIFS($O$33:$PN$33,$O$11:$PN11,AC$11),0)</f>
        <v>0</v>
      </c>
      <c r="AE61" s="921"/>
      <c r="AF61" s="922"/>
      <c r="AG61" s="696">
        <f>IF('F0a Konfiguration'!$C$25=AE$7,SUMIFS($O$33:$PN$33,$O$11:$PN11,AG$11),0)</f>
        <v>0</v>
      </c>
      <c r="AH61" s="697">
        <f>IF('F0a Konfiguration'!$C$25=AE$7,SUMIFS($O$33:$PN$33,$O$11:$PN11,AH$11),0)</f>
        <v>0</v>
      </c>
      <c r="AI61" s="697">
        <f>IF('F0a Konfiguration'!$C$25=AE$7,SUMIFS($O$33:$PN$33,$O$11:$PN11,AI$11),0)</f>
        <v>0</v>
      </c>
      <c r="AJ61" s="697">
        <f>IF('F0a Konfiguration'!$C$25=AE$7,SUMIFS($O$33:$PN$33,$O$11:$PN11,AJ$11),0)</f>
        <v>0</v>
      </c>
      <c r="AK61" s="698">
        <f>IF('F0a Konfiguration'!$C$25=AE$7,SUMIFS($O$33:$PN$33,$O$11:$PN11,AK$11),0)</f>
        <v>0</v>
      </c>
      <c r="AM61" s="921"/>
      <c r="AN61" s="922"/>
      <c r="AO61" s="696">
        <f>IF('F0a Konfiguration'!$C$25=AM$7,SUMIFS($O$33:$PN$33,$O$11:$PN11,AO$11),0)</f>
        <v>0</v>
      </c>
      <c r="AP61" s="697">
        <f>IF('F0a Konfiguration'!$C$25=AM$7,SUMIFS($O$33:$PN$33,$O$11:$PN11,AP$11),0)</f>
        <v>0</v>
      </c>
      <c r="AQ61" s="697">
        <f>IF('F0a Konfiguration'!$C$25=AM$7,SUMIFS($O$33:$PN$33,$O$11:$PN11,AQ$11),0)</f>
        <v>0</v>
      </c>
      <c r="AR61" s="697">
        <f>IF('F0a Konfiguration'!$C$25=AM$7,SUMIFS($O$33:$PN$33,$O$11:$PN11,AR$11),0)</f>
        <v>0</v>
      </c>
      <c r="AS61" s="698">
        <f>IF('F0a Konfiguration'!$C$25=AM$7,SUMIFS($O$33:$PN$33,$O$11:$PN11,AS$11),0)</f>
        <v>0</v>
      </c>
      <c r="AU61" s="921"/>
      <c r="AV61" s="922"/>
      <c r="AW61" s="696">
        <f>IF('F0a Konfiguration'!$C$25=AU$7,SUMIFS($O$33:$PN$33,$O$11:$PN11,AW$11),0)</f>
        <v>0</v>
      </c>
      <c r="AX61" s="697">
        <f>IF('F0a Konfiguration'!$C$25=AU$7,SUMIFS($O$33:$PN$33,$O$11:$PN11,AX$11),0)</f>
        <v>0</v>
      </c>
      <c r="AY61" s="697">
        <f>IF('F0a Konfiguration'!$C$25=AU$7,SUMIFS($O$33:$PN$33,$O$11:$PN11,AY$11),0)</f>
        <v>0</v>
      </c>
      <c r="AZ61" s="697">
        <f>IF('F0a Konfiguration'!$C$25=AU$7,SUMIFS($O$33:$PN$33,$O$11:$PN11,AZ$11),0)</f>
        <v>0</v>
      </c>
      <c r="BA61" s="698">
        <f>IF('F0a Konfiguration'!$C$25=AU$7,SUMIFS($O$33:$PN$33,$O$11:$PN11,BA$11),0)</f>
        <v>0</v>
      </c>
      <c r="BC61" s="921"/>
      <c r="BD61" s="922"/>
      <c r="BE61" s="696">
        <f>IF('F0a Konfiguration'!$C$25=BC$7,SUMIFS($O$33:$PN$33,$O$11:$PN11,BE$11),0)</f>
        <v>27.572499999999994</v>
      </c>
      <c r="BF61" s="697">
        <f>IF('F0a Konfiguration'!$C$25=BC$7,SUMIFS($O$33:$PN$33,$O$11:$PN11,BF$11),0)</f>
        <v>71.187499999999986</v>
      </c>
      <c r="BG61" s="697">
        <f>IF('F0a Konfiguration'!$C$25=BC$7,SUMIFS($O$33:$PN$33,$O$11:$PN11,BG$11),0)</f>
        <v>111.89673106060604</v>
      </c>
      <c r="BH61" s="697">
        <f>IF('F0a Konfiguration'!$C$25=BC$7,SUMIFS($O$33:$PN$33,$O$11:$PN11,BH$11),0)</f>
        <v>129.97187121212121</v>
      </c>
      <c r="BI61" s="698">
        <f>IF('F0a Konfiguration'!$C$25=BC$7,SUMIFS($O$33:$PN$33,$O$11:$PN11,BI$11),0)</f>
        <v>127.05208712121211</v>
      </c>
    </row>
    <row r="62" spans="2:62" ht="6" customHeight="1">
      <c r="B62" s="425"/>
      <c r="C62" s="639"/>
      <c r="D62" s="639"/>
      <c r="E62" s="426"/>
      <c r="F62" s="426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W62" s="379"/>
      <c r="X62" s="379"/>
      <c r="Y62" s="379"/>
      <c r="Z62" s="379"/>
      <c r="AA62" s="379"/>
      <c r="AB62" s="379"/>
      <c r="AC62" s="379"/>
      <c r="AE62" s="379"/>
      <c r="AF62" s="379"/>
      <c r="AG62" s="379"/>
      <c r="AH62" s="379"/>
      <c r="AI62" s="379"/>
      <c r="AJ62" s="379"/>
      <c r="AK62" s="379"/>
      <c r="AM62" s="379"/>
      <c r="AN62" s="379"/>
      <c r="AO62" s="379"/>
      <c r="AP62" s="379"/>
      <c r="AQ62" s="379"/>
      <c r="AR62" s="379"/>
      <c r="AS62" s="379"/>
      <c r="AU62" s="379"/>
      <c r="AV62" s="379"/>
      <c r="AW62" s="379"/>
      <c r="AX62" s="379"/>
      <c r="AY62" s="379"/>
      <c r="AZ62" s="379"/>
      <c r="BA62" s="379"/>
      <c r="BC62" s="379"/>
      <c r="BD62" s="379"/>
      <c r="BE62" s="379"/>
      <c r="BF62" s="379"/>
      <c r="BG62" s="379"/>
      <c r="BH62" s="379"/>
      <c r="BI62" s="379"/>
    </row>
    <row r="63" spans="2:62" ht="6" customHeight="1">
      <c r="B63" s="432"/>
      <c r="C63" s="397"/>
      <c r="D63" s="397"/>
      <c r="E63" s="398"/>
      <c r="F63" s="398"/>
      <c r="G63" s="376"/>
      <c r="H63" s="376"/>
      <c r="I63" s="376"/>
      <c r="J63" s="376"/>
      <c r="K63" s="376"/>
      <c r="L63" s="376"/>
      <c r="M63" s="376"/>
      <c r="N63" s="379"/>
      <c r="O63" s="376"/>
      <c r="P63" s="376"/>
      <c r="Q63" s="376"/>
      <c r="R63" s="376"/>
      <c r="S63" s="376"/>
      <c r="T63" s="376"/>
      <c r="U63" s="376"/>
      <c r="W63" s="376"/>
      <c r="X63" s="376"/>
      <c r="Y63" s="376"/>
      <c r="Z63" s="376"/>
      <c r="AA63" s="376"/>
      <c r="AB63" s="376"/>
      <c r="AC63" s="376"/>
      <c r="AE63" s="376"/>
      <c r="AF63" s="376"/>
      <c r="AG63" s="376"/>
      <c r="AH63" s="376"/>
      <c r="AI63" s="376"/>
      <c r="AJ63" s="376"/>
      <c r="AK63" s="376"/>
      <c r="AM63" s="376"/>
      <c r="AN63" s="376"/>
      <c r="AO63" s="376"/>
      <c r="AP63" s="376"/>
      <c r="AQ63" s="376"/>
      <c r="AR63" s="376"/>
      <c r="AS63" s="376"/>
      <c r="AU63" s="376"/>
      <c r="AV63" s="376"/>
      <c r="AW63" s="376"/>
      <c r="AX63" s="376"/>
      <c r="AY63" s="376"/>
      <c r="AZ63" s="376"/>
      <c r="BA63" s="376"/>
      <c r="BC63" s="376"/>
      <c r="BD63" s="376"/>
      <c r="BE63" s="376"/>
      <c r="BF63" s="376"/>
      <c r="BG63" s="376"/>
      <c r="BH63" s="376"/>
      <c r="BI63" s="376"/>
    </row>
    <row r="64" spans="2:62">
      <c r="B64" s="85"/>
      <c r="C64" s="85"/>
      <c r="D64" s="107" t="s">
        <v>99</v>
      </c>
      <c r="E64" s="85"/>
      <c r="F64" s="85"/>
      <c r="G64" s="386"/>
      <c r="H64" s="415"/>
      <c r="I64" s="433">
        <f>I36</f>
        <v>27.572499999999994</v>
      </c>
      <c r="J64" s="386">
        <f t="shared" ref="J64:M64" si="36">J36</f>
        <v>71.187499999999986</v>
      </c>
      <c r="K64" s="386">
        <f t="shared" si="36"/>
        <v>111.89673106060604</v>
      </c>
      <c r="L64" s="386">
        <f t="shared" si="36"/>
        <v>129.97187121212121</v>
      </c>
      <c r="M64" s="384">
        <f t="shared" si="36"/>
        <v>127.05208712121211</v>
      </c>
      <c r="N64" s="602" t="str">
        <f>IF(ROUND(SUM(G64:M64),0)=ROUND(SUM(O64:YQ64),0),"",SUM(O64:YQ64)-SUM(G64:M64))</f>
        <v/>
      </c>
      <c r="O64" s="386">
        <f t="shared" ref="O64:U64" si="37">O36</f>
        <v>0</v>
      </c>
      <c r="P64" s="415">
        <f t="shared" si="37"/>
        <v>0</v>
      </c>
      <c r="Q64" s="433">
        <f t="shared" si="37"/>
        <v>0</v>
      </c>
      <c r="R64" s="386">
        <f t="shared" si="37"/>
        <v>0</v>
      </c>
      <c r="S64" s="386">
        <f t="shared" si="37"/>
        <v>0</v>
      </c>
      <c r="T64" s="386">
        <f t="shared" si="37"/>
        <v>0</v>
      </c>
      <c r="U64" s="384">
        <f t="shared" si="37"/>
        <v>0</v>
      </c>
      <c r="W64" s="386">
        <f t="shared" ref="W64:AC64" si="38">W36</f>
        <v>0</v>
      </c>
      <c r="X64" s="415">
        <f t="shared" si="38"/>
        <v>0</v>
      </c>
      <c r="Y64" s="433">
        <f t="shared" si="38"/>
        <v>0</v>
      </c>
      <c r="Z64" s="386">
        <f t="shared" si="38"/>
        <v>0</v>
      </c>
      <c r="AA64" s="386">
        <f t="shared" si="38"/>
        <v>0</v>
      </c>
      <c r="AB64" s="386">
        <f t="shared" si="38"/>
        <v>0</v>
      </c>
      <c r="AC64" s="384">
        <f t="shared" si="38"/>
        <v>0</v>
      </c>
      <c r="AE64" s="386">
        <f t="shared" ref="AE64:AK64" si="39">AE36</f>
        <v>0</v>
      </c>
      <c r="AF64" s="415">
        <f t="shared" si="39"/>
        <v>0</v>
      </c>
      <c r="AG64" s="433">
        <f t="shared" si="39"/>
        <v>0</v>
      </c>
      <c r="AH64" s="386">
        <f t="shared" si="39"/>
        <v>0</v>
      </c>
      <c r="AI64" s="386">
        <f t="shared" si="39"/>
        <v>0</v>
      </c>
      <c r="AJ64" s="386">
        <f t="shared" si="39"/>
        <v>0</v>
      </c>
      <c r="AK64" s="384">
        <f t="shared" si="39"/>
        <v>0</v>
      </c>
      <c r="AM64" s="386">
        <f t="shared" ref="AM64:AS64" si="40">AM36</f>
        <v>0</v>
      </c>
      <c r="AN64" s="415">
        <f t="shared" si="40"/>
        <v>0</v>
      </c>
      <c r="AO64" s="433">
        <f t="shared" si="40"/>
        <v>0</v>
      </c>
      <c r="AP64" s="386">
        <f t="shared" si="40"/>
        <v>0</v>
      </c>
      <c r="AQ64" s="386">
        <f t="shared" si="40"/>
        <v>0</v>
      </c>
      <c r="AR64" s="386">
        <f t="shared" si="40"/>
        <v>0</v>
      </c>
      <c r="AS64" s="384">
        <f t="shared" si="40"/>
        <v>0</v>
      </c>
      <c r="AU64" s="386">
        <f t="shared" ref="AU64:BA64" si="41">AU36</f>
        <v>0</v>
      </c>
      <c r="AV64" s="415">
        <f t="shared" si="41"/>
        <v>0</v>
      </c>
      <c r="AW64" s="433">
        <f t="shared" si="41"/>
        <v>0</v>
      </c>
      <c r="AX64" s="386">
        <f t="shared" si="41"/>
        <v>0</v>
      </c>
      <c r="AY64" s="386">
        <f t="shared" si="41"/>
        <v>0</v>
      </c>
      <c r="AZ64" s="386">
        <f t="shared" si="41"/>
        <v>0</v>
      </c>
      <c r="BA64" s="384">
        <f t="shared" si="41"/>
        <v>0</v>
      </c>
      <c r="BC64" s="386">
        <f t="shared" ref="BC64:BI64" si="42">BC36</f>
        <v>0</v>
      </c>
      <c r="BD64" s="415">
        <f t="shared" si="42"/>
        <v>0</v>
      </c>
      <c r="BE64" s="433">
        <f t="shared" si="42"/>
        <v>27.572499999999994</v>
      </c>
      <c r="BF64" s="386">
        <f t="shared" si="42"/>
        <v>71.187499999999986</v>
      </c>
      <c r="BG64" s="386">
        <f t="shared" si="42"/>
        <v>111.89673106060604</v>
      </c>
      <c r="BH64" s="386">
        <f t="shared" si="42"/>
        <v>129.97187121212121</v>
      </c>
      <c r="BI64" s="384">
        <f t="shared" si="42"/>
        <v>127.05208712121211</v>
      </c>
    </row>
    <row r="65" spans="2:61">
      <c r="B65" s="85"/>
      <c r="C65" s="85"/>
      <c r="D65" s="107" t="s">
        <v>100</v>
      </c>
      <c r="E65" s="85"/>
      <c r="F65" s="85"/>
      <c r="G65" s="386"/>
      <c r="H65" s="415"/>
      <c r="I65" s="433">
        <f>I13</f>
        <v>8.9349999999999952</v>
      </c>
      <c r="J65" s="386">
        <f t="shared" ref="J65:M65" si="43">J13</f>
        <v>32.234093749999985</v>
      </c>
      <c r="K65" s="386">
        <f t="shared" si="43"/>
        <v>83.950188531856043</v>
      </c>
      <c r="L65" s="386">
        <f t="shared" si="43"/>
        <v>109.66590993835294</v>
      </c>
      <c r="M65" s="384">
        <f t="shared" si="43"/>
        <v>108.97522483202685</v>
      </c>
      <c r="N65" s="602" t="str">
        <f>IF(ROUND(SUM(G65:M65),0)=ROUND(SUM(O65:YQ65),0),"",SUM(O65:YQ65)-SUM(G65:M65))</f>
        <v/>
      </c>
      <c r="O65" s="386">
        <f t="shared" ref="O65:U65" si="44">O13</f>
        <v>0</v>
      </c>
      <c r="P65" s="415">
        <f t="shared" si="44"/>
        <v>0</v>
      </c>
      <c r="Q65" s="433">
        <f t="shared" si="44"/>
        <v>2.4</v>
      </c>
      <c r="R65" s="386">
        <f t="shared" si="44"/>
        <v>-9.4</v>
      </c>
      <c r="S65" s="386">
        <f t="shared" si="44"/>
        <v>-8.92</v>
      </c>
      <c r="T65" s="386">
        <f t="shared" si="44"/>
        <v>-6.8650000000000002</v>
      </c>
      <c r="U65" s="384">
        <f t="shared" si="44"/>
        <v>-6.45</v>
      </c>
      <c r="W65" s="386">
        <f t="shared" ref="W65:AC65" si="45">W13</f>
        <v>0</v>
      </c>
      <c r="X65" s="415">
        <f t="shared" si="45"/>
        <v>0</v>
      </c>
      <c r="Y65" s="433">
        <f t="shared" si="45"/>
        <v>-21.68</v>
      </c>
      <c r="Z65" s="386">
        <f t="shared" si="45"/>
        <v>-16.66</v>
      </c>
      <c r="AA65" s="386">
        <f t="shared" si="45"/>
        <v>-13.802499999999998</v>
      </c>
      <c r="AB65" s="386">
        <f t="shared" si="45"/>
        <v>-11.022499999999999</v>
      </c>
      <c r="AC65" s="384">
        <f t="shared" si="45"/>
        <v>-18.657499999999999</v>
      </c>
      <c r="AE65" s="386">
        <f t="shared" ref="AE65:AK65" si="46">AE13</f>
        <v>0</v>
      </c>
      <c r="AF65" s="415">
        <f t="shared" si="46"/>
        <v>0</v>
      </c>
      <c r="AG65" s="433">
        <f t="shared" si="46"/>
        <v>-0.6</v>
      </c>
      <c r="AH65" s="386">
        <f t="shared" si="46"/>
        <v>3.4</v>
      </c>
      <c r="AI65" s="386">
        <f t="shared" si="46"/>
        <v>7.2650000000000006</v>
      </c>
      <c r="AJ65" s="386">
        <f t="shared" si="46"/>
        <v>6.0050000000000008</v>
      </c>
      <c r="AK65" s="384">
        <f t="shared" si="46"/>
        <v>4.745000000000001</v>
      </c>
      <c r="AM65" s="386">
        <f t="shared" ref="AM65:AS65" si="47">AM13</f>
        <v>0</v>
      </c>
      <c r="AN65" s="415">
        <f t="shared" si="47"/>
        <v>0</v>
      </c>
      <c r="AO65" s="433">
        <f t="shared" si="47"/>
        <v>-4.7424999999999997</v>
      </c>
      <c r="AP65" s="386">
        <f t="shared" si="47"/>
        <v>-21.337499999999999</v>
      </c>
      <c r="AQ65" s="386">
        <f t="shared" si="47"/>
        <v>-23.339602272727273</v>
      </c>
      <c r="AR65" s="386">
        <f t="shared" si="47"/>
        <v>-19.520795454545457</v>
      </c>
      <c r="AS65" s="384">
        <f t="shared" si="47"/>
        <v>-16.811079545454547</v>
      </c>
      <c r="AU65" s="386">
        <f t="shared" ref="AU65:BA65" si="48">AU13</f>
        <v>0</v>
      </c>
      <c r="AV65" s="415">
        <f t="shared" si="48"/>
        <v>0</v>
      </c>
      <c r="AW65" s="433">
        <f t="shared" si="48"/>
        <v>32.194999999999993</v>
      </c>
      <c r="AX65" s="386">
        <f t="shared" si="48"/>
        <v>69.184999999999988</v>
      </c>
      <c r="AY65" s="386">
        <f t="shared" si="48"/>
        <v>104.69383333333332</v>
      </c>
      <c r="AZ65" s="386">
        <f t="shared" si="48"/>
        <v>115.37516666666666</v>
      </c>
      <c r="BA65" s="384">
        <f t="shared" si="48"/>
        <v>118.22566666666665</v>
      </c>
      <c r="BC65" s="386">
        <f t="shared" ref="BC65:BI65" si="49">BC13</f>
        <v>0</v>
      </c>
      <c r="BD65" s="415">
        <f t="shared" si="49"/>
        <v>0</v>
      </c>
      <c r="BE65" s="433">
        <f t="shared" si="49"/>
        <v>1.3625000000000003</v>
      </c>
      <c r="BF65" s="386">
        <f t="shared" si="49"/>
        <v>7.0465937500000013</v>
      </c>
      <c r="BG65" s="386">
        <f t="shared" si="49"/>
        <v>18.053457471249992</v>
      </c>
      <c r="BH65" s="386">
        <f t="shared" si="49"/>
        <v>25.694038726231732</v>
      </c>
      <c r="BI65" s="384">
        <f t="shared" si="49"/>
        <v>27.923137710814739</v>
      </c>
    </row>
    <row r="66" spans="2:61" ht="6" customHeight="1">
      <c r="B66" s="85"/>
      <c r="C66" s="85"/>
      <c r="D66" s="85"/>
      <c r="E66" s="85"/>
      <c r="F66" s="85"/>
      <c r="G66" s="389"/>
      <c r="H66" s="389"/>
      <c r="I66" s="389"/>
      <c r="J66" s="389"/>
      <c r="K66" s="389"/>
      <c r="L66" s="389"/>
      <c r="M66" s="389"/>
      <c r="N66" s="379"/>
      <c r="O66" s="389"/>
      <c r="P66" s="389"/>
      <c r="Q66" s="389"/>
      <c r="R66" s="389"/>
      <c r="S66" s="389"/>
      <c r="T66" s="389"/>
      <c r="U66" s="389"/>
      <c r="W66" s="389"/>
      <c r="X66" s="389"/>
      <c r="Y66" s="389"/>
      <c r="Z66" s="389"/>
      <c r="AA66" s="389"/>
      <c r="AB66" s="389"/>
      <c r="AC66" s="389"/>
      <c r="AE66" s="389"/>
      <c r="AF66" s="389"/>
      <c r="AG66" s="389"/>
      <c r="AH66" s="389"/>
      <c r="AI66" s="389"/>
      <c r="AJ66" s="389"/>
      <c r="AK66" s="389"/>
      <c r="AM66" s="389"/>
      <c r="AN66" s="389"/>
      <c r="AO66" s="389"/>
      <c r="AP66" s="389"/>
      <c r="AQ66" s="389"/>
      <c r="AR66" s="389"/>
      <c r="AS66" s="389"/>
      <c r="AU66" s="389"/>
      <c r="AV66" s="389"/>
      <c r="AW66" s="389"/>
      <c r="AX66" s="389"/>
      <c r="AY66" s="389"/>
      <c r="AZ66" s="389"/>
      <c r="BA66" s="389"/>
      <c r="BC66" s="389"/>
      <c r="BD66" s="389"/>
      <c r="BE66" s="389"/>
      <c r="BF66" s="389"/>
      <c r="BG66" s="389"/>
      <c r="BH66" s="389"/>
      <c r="BI66" s="389"/>
    </row>
    <row r="67" spans="2:61">
      <c r="B67" s="85"/>
      <c r="C67" s="85"/>
      <c r="D67" s="85" t="s">
        <v>101</v>
      </c>
      <c r="E67" s="85"/>
      <c r="F67" s="85"/>
      <c r="G67" s="389">
        <f>IF(G64&gt;=G65,G64-G65,0)</f>
        <v>0</v>
      </c>
      <c r="H67" s="389">
        <f>IF(H64&gt;=H65,H64-H65,0)</f>
        <v>0</v>
      </c>
      <c r="I67" s="389">
        <f>IF(I64&gt;=I65,I64-I65,0)</f>
        <v>18.637499999999999</v>
      </c>
      <c r="J67" s="389">
        <f t="shared" ref="J67:M67" si="50">IF(J64&gt;=J65,J64-J65,0)</f>
        <v>38.95340625</v>
      </c>
      <c r="K67" s="389">
        <f t="shared" si="50"/>
        <v>27.946542528750001</v>
      </c>
      <c r="L67" s="389">
        <f t="shared" si="50"/>
        <v>20.305961273768276</v>
      </c>
      <c r="M67" s="389">
        <f t="shared" si="50"/>
        <v>18.076862289185257</v>
      </c>
      <c r="N67" s="389"/>
      <c r="O67" s="389">
        <f>IF(O64&gt;=O65,O64-O65,0)</f>
        <v>0</v>
      </c>
      <c r="P67" s="389">
        <f>IF(P64&gt;=P65,P64-P65,0)</f>
        <v>0</v>
      </c>
      <c r="Q67" s="389">
        <f t="shared" ref="Q67:U67" si="51">IF(Q64&gt;=Q65,Q64-Q65,0)</f>
        <v>0</v>
      </c>
      <c r="R67" s="389">
        <f t="shared" si="51"/>
        <v>9.4</v>
      </c>
      <c r="S67" s="389">
        <f t="shared" si="51"/>
        <v>8.92</v>
      </c>
      <c r="T67" s="389">
        <f t="shared" si="51"/>
        <v>6.8650000000000002</v>
      </c>
      <c r="U67" s="389">
        <f t="shared" si="51"/>
        <v>6.45</v>
      </c>
      <c r="W67" s="389">
        <f t="shared" ref="W67:AC67" si="52">IF(W64&gt;=W65,W64-W65,0)</f>
        <v>0</v>
      </c>
      <c r="X67" s="389">
        <f t="shared" si="52"/>
        <v>0</v>
      </c>
      <c r="Y67" s="389">
        <f t="shared" si="52"/>
        <v>21.68</v>
      </c>
      <c r="Z67" s="389">
        <f t="shared" si="52"/>
        <v>16.66</v>
      </c>
      <c r="AA67" s="389">
        <f t="shared" si="52"/>
        <v>13.802499999999998</v>
      </c>
      <c r="AB67" s="389">
        <f t="shared" si="52"/>
        <v>11.022499999999999</v>
      </c>
      <c r="AC67" s="389">
        <f t="shared" si="52"/>
        <v>18.657499999999999</v>
      </c>
      <c r="AE67" s="389">
        <f t="shared" ref="AE67:AK67" si="53">IF(AE64&gt;=AE65,AE64-AE65,0)</f>
        <v>0</v>
      </c>
      <c r="AF67" s="389">
        <f t="shared" si="53"/>
        <v>0</v>
      </c>
      <c r="AG67" s="389">
        <f t="shared" si="53"/>
        <v>0.6</v>
      </c>
      <c r="AH67" s="389">
        <f t="shared" si="53"/>
        <v>0</v>
      </c>
      <c r="AI67" s="389">
        <f t="shared" si="53"/>
        <v>0</v>
      </c>
      <c r="AJ67" s="389">
        <f t="shared" si="53"/>
        <v>0</v>
      </c>
      <c r="AK67" s="389">
        <f t="shared" si="53"/>
        <v>0</v>
      </c>
      <c r="AM67" s="389">
        <f t="shared" ref="AM67:AS67" si="54">IF(AM64&gt;=AM65,AM64-AM65,0)</f>
        <v>0</v>
      </c>
      <c r="AN67" s="389">
        <f t="shared" si="54"/>
        <v>0</v>
      </c>
      <c r="AO67" s="389">
        <f t="shared" si="54"/>
        <v>4.7424999999999997</v>
      </c>
      <c r="AP67" s="389">
        <f t="shared" si="54"/>
        <v>21.337499999999999</v>
      </c>
      <c r="AQ67" s="389">
        <f t="shared" si="54"/>
        <v>23.339602272727273</v>
      </c>
      <c r="AR67" s="389">
        <f t="shared" si="54"/>
        <v>19.520795454545457</v>
      </c>
      <c r="AS67" s="389">
        <f t="shared" si="54"/>
        <v>16.811079545454547</v>
      </c>
      <c r="AU67" s="389">
        <f t="shared" ref="AU67:BA67" si="55">IF(AU64&gt;=AU65,AU64-AU65,0)</f>
        <v>0</v>
      </c>
      <c r="AV67" s="389">
        <f t="shared" si="55"/>
        <v>0</v>
      </c>
      <c r="AW67" s="389">
        <f t="shared" si="55"/>
        <v>0</v>
      </c>
      <c r="AX67" s="389">
        <f t="shared" si="55"/>
        <v>0</v>
      </c>
      <c r="AY67" s="389">
        <f t="shared" si="55"/>
        <v>0</v>
      </c>
      <c r="AZ67" s="389">
        <f t="shared" si="55"/>
        <v>0</v>
      </c>
      <c r="BA67" s="389">
        <f t="shared" si="55"/>
        <v>0</v>
      </c>
      <c r="BC67" s="389">
        <f t="shared" ref="BC67:BI67" si="56">IF(BC64&gt;=BC65,BC64-BC65,0)</f>
        <v>0</v>
      </c>
      <c r="BD67" s="389">
        <f t="shared" si="56"/>
        <v>0</v>
      </c>
      <c r="BE67" s="389">
        <f t="shared" si="56"/>
        <v>26.209999999999994</v>
      </c>
      <c r="BF67" s="389">
        <f t="shared" si="56"/>
        <v>64.140906249999986</v>
      </c>
      <c r="BG67" s="389">
        <f t="shared" si="56"/>
        <v>93.843273589356045</v>
      </c>
      <c r="BH67" s="389">
        <f t="shared" si="56"/>
        <v>104.27783248588949</v>
      </c>
      <c r="BI67" s="389">
        <f t="shared" si="56"/>
        <v>99.128949410397368</v>
      </c>
    </row>
    <row r="68" spans="2:61">
      <c r="B68" s="85"/>
      <c r="C68" s="85"/>
      <c r="D68" s="85" t="s">
        <v>102</v>
      </c>
      <c r="E68" s="85"/>
      <c r="F68" s="85"/>
      <c r="G68" s="389">
        <f t="shared" ref="G68:M68" si="57">IF(G64&lt;=G65,G65-G64,0)</f>
        <v>0</v>
      </c>
      <c r="H68" s="389">
        <f t="shared" si="57"/>
        <v>0</v>
      </c>
      <c r="I68" s="389">
        <f t="shared" si="57"/>
        <v>0</v>
      </c>
      <c r="J68" s="389">
        <f t="shared" si="57"/>
        <v>0</v>
      </c>
      <c r="K68" s="389">
        <f t="shared" si="57"/>
        <v>0</v>
      </c>
      <c r="L68" s="389">
        <f t="shared" si="57"/>
        <v>0</v>
      </c>
      <c r="M68" s="389">
        <f t="shared" si="57"/>
        <v>0</v>
      </c>
      <c r="N68" s="602" t="str">
        <f>IF(SUM('F3 Änderungen ER'!E13:I13)+SUM('F5a Zinsänderungen'!H59:L59)=(SUM(I68:M68)-SUM(I67:M67)),"","Fehler")</f>
        <v/>
      </c>
      <c r="O68" s="389">
        <f t="shared" ref="O68:U68" si="58">IF(O64&lt;=O65,O65-O64,0)</f>
        <v>0</v>
      </c>
      <c r="P68" s="389">
        <f t="shared" si="58"/>
        <v>0</v>
      </c>
      <c r="Q68" s="389">
        <f t="shared" si="58"/>
        <v>2.4</v>
      </c>
      <c r="R68" s="389">
        <f t="shared" si="58"/>
        <v>0</v>
      </c>
      <c r="S68" s="389">
        <f t="shared" si="58"/>
        <v>0</v>
      </c>
      <c r="T68" s="389">
        <f t="shared" si="58"/>
        <v>0</v>
      </c>
      <c r="U68" s="389">
        <f t="shared" si="58"/>
        <v>0</v>
      </c>
      <c r="W68" s="389">
        <f t="shared" ref="W68:AC68" si="59">IF(W64&lt;=W65,W65-W64,0)</f>
        <v>0</v>
      </c>
      <c r="X68" s="389">
        <f t="shared" si="59"/>
        <v>0</v>
      </c>
      <c r="Y68" s="389">
        <f t="shared" si="59"/>
        <v>0</v>
      </c>
      <c r="Z68" s="389">
        <f t="shared" si="59"/>
        <v>0</v>
      </c>
      <c r="AA68" s="389">
        <f t="shared" si="59"/>
        <v>0</v>
      </c>
      <c r="AB68" s="389">
        <f t="shared" si="59"/>
        <v>0</v>
      </c>
      <c r="AC68" s="389">
        <f t="shared" si="59"/>
        <v>0</v>
      </c>
      <c r="AE68" s="389">
        <f t="shared" ref="AE68:AK68" si="60">IF(AE64&lt;=AE65,AE65-AE64,0)</f>
        <v>0</v>
      </c>
      <c r="AF68" s="389">
        <f t="shared" si="60"/>
        <v>0</v>
      </c>
      <c r="AG68" s="389">
        <f t="shared" si="60"/>
        <v>0</v>
      </c>
      <c r="AH68" s="389">
        <f t="shared" si="60"/>
        <v>3.4</v>
      </c>
      <c r="AI68" s="389">
        <f t="shared" si="60"/>
        <v>7.2650000000000006</v>
      </c>
      <c r="AJ68" s="389">
        <f t="shared" si="60"/>
        <v>6.0050000000000008</v>
      </c>
      <c r="AK68" s="389">
        <f t="shared" si="60"/>
        <v>4.745000000000001</v>
      </c>
      <c r="AM68" s="389">
        <f t="shared" ref="AM68:AS68" si="61">IF(AM64&lt;=AM65,AM65-AM64,0)</f>
        <v>0</v>
      </c>
      <c r="AN68" s="389">
        <f t="shared" si="61"/>
        <v>0</v>
      </c>
      <c r="AO68" s="389">
        <f t="shared" si="61"/>
        <v>0</v>
      </c>
      <c r="AP68" s="389">
        <f t="shared" si="61"/>
        <v>0</v>
      </c>
      <c r="AQ68" s="389">
        <f t="shared" si="61"/>
        <v>0</v>
      </c>
      <c r="AR68" s="389">
        <f t="shared" si="61"/>
        <v>0</v>
      </c>
      <c r="AS68" s="389">
        <f t="shared" si="61"/>
        <v>0</v>
      </c>
      <c r="AU68" s="389">
        <f t="shared" ref="AU68:BA68" si="62">IF(AU64&lt;=AU65,AU65-AU64,0)</f>
        <v>0</v>
      </c>
      <c r="AV68" s="389">
        <f t="shared" si="62"/>
        <v>0</v>
      </c>
      <c r="AW68" s="389">
        <f t="shared" si="62"/>
        <v>32.194999999999993</v>
      </c>
      <c r="AX68" s="389">
        <f t="shared" si="62"/>
        <v>69.184999999999988</v>
      </c>
      <c r="AY68" s="389">
        <f t="shared" si="62"/>
        <v>104.69383333333332</v>
      </c>
      <c r="AZ68" s="389">
        <f t="shared" si="62"/>
        <v>115.37516666666666</v>
      </c>
      <c r="BA68" s="389">
        <f t="shared" si="62"/>
        <v>118.22566666666665</v>
      </c>
      <c r="BC68" s="389">
        <f t="shared" ref="BC68:BI68" si="63">IF(BC64&lt;=BC65,BC65-BC64,0)</f>
        <v>0</v>
      </c>
      <c r="BD68" s="389">
        <f t="shared" si="63"/>
        <v>0</v>
      </c>
      <c r="BE68" s="389">
        <f t="shared" si="63"/>
        <v>0</v>
      </c>
      <c r="BF68" s="389">
        <f t="shared" si="63"/>
        <v>0</v>
      </c>
      <c r="BG68" s="389">
        <f t="shared" si="63"/>
        <v>0</v>
      </c>
      <c r="BH68" s="389">
        <f t="shared" si="63"/>
        <v>0</v>
      </c>
      <c r="BI68" s="389">
        <f t="shared" si="63"/>
        <v>0</v>
      </c>
    </row>
    <row r="69" spans="2:61">
      <c r="B69" s="85"/>
      <c r="C69" s="85"/>
      <c r="D69" s="85"/>
      <c r="E69" s="85"/>
      <c r="F69" s="85"/>
      <c r="G69" s="389"/>
      <c r="H69" s="389"/>
      <c r="I69" s="389"/>
      <c r="J69" s="389"/>
      <c r="K69" s="389"/>
      <c r="L69" s="389"/>
      <c r="M69" s="389"/>
      <c r="N69" s="389"/>
      <c r="O69" s="389"/>
      <c r="P69" s="389"/>
      <c r="Q69" s="389"/>
      <c r="R69" s="389"/>
      <c r="S69" s="389"/>
      <c r="T69" s="389"/>
      <c r="U69" s="389"/>
      <c r="W69" s="389"/>
      <c r="X69" s="389"/>
      <c r="Y69" s="389"/>
      <c r="Z69" s="389"/>
      <c r="AA69" s="389"/>
      <c r="AB69" s="389"/>
      <c r="AC69" s="389"/>
      <c r="AE69" s="389"/>
      <c r="AF69" s="389"/>
      <c r="AG69" s="389"/>
      <c r="AH69" s="389"/>
      <c r="AI69" s="389"/>
      <c r="AJ69" s="389"/>
      <c r="AK69" s="389"/>
      <c r="AM69" s="389"/>
      <c r="AN69" s="389"/>
      <c r="AO69" s="389"/>
      <c r="AP69" s="389"/>
      <c r="AQ69" s="389"/>
      <c r="AR69" s="389"/>
      <c r="AS69" s="389"/>
      <c r="AU69" s="389"/>
      <c r="AV69" s="389"/>
      <c r="AW69" s="389"/>
      <c r="AX69" s="389"/>
      <c r="AY69" s="389"/>
      <c r="AZ69" s="389"/>
      <c r="BA69" s="389"/>
      <c r="BC69" s="389"/>
      <c r="BD69" s="389"/>
      <c r="BE69" s="389"/>
      <c r="BF69" s="389"/>
      <c r="BG69" s="389"/>
      <c r="BH69" s="389"/>
      <c r="BI69" s="389"/>
    </row>
    <row r="70" spans="2:61">
      <c r="I70" s="684"/>
      <c r="N70" s="389"/>
    </row>
    <row r="71" spans="2:61">
      <c r="N71" s="674"/>
    </row>
    <row r="72" spans="2:61">
      <c r="N72" s="389"/>
      <c r="O72" s="943"/>
    </row>
    <row r="73" spans="2:61">
      <c r="N73" s="684"/>
    </row>
    <row r="74" spans="2:61">
      <c r="N74" s="920"/>
      <c r="O74" s="943"/>
    </row>
    <row r="75" spans="2:61">
      <c r="N75" s="85"/>
    </row>
    <row r="76" spans="2:61">
      <c r="N76" s="944"/>
    </row>
    <row r="77" spans="2:61">
      <c r="N77" s="944"/>
    </row>
    <row r="78" spans="2:61">
      <c r="N78" s="85"/>
    </row>
    <row r="79" spans="2:61">
      <c r="N79" s="85"/>
    </row>
    <row r="80" spans="2:61">
      <c r="N80" s="85"/>
    </row>
    <row r="81" spans="14:14">
      <c r="N81" s="85"/>
    </row>
    <row r="82" spans="14:14">
      <c r="N82" s="85"/>
    </row>
    <row r="83" spans="14:14">
      <c r="N83" s="85"/>
    </row>
    <row r="84" spans="14:14">
      <c r="N84" s="85"/>
    </row>
    <row r="85" spans="14:14">
      <c r="N85" s="85"/>
    </row>
    <row r="86" spans="14:14">
      <c r="N86" s="85"/>
    </row>
    <row r="87" spans="14:14">
      <c r="N87" s="85"/>
    </row>
    <row r="88" spans="14:14">
      <c r="N88" s="85"/>
    </row>
    <row r="89" spans="14:14">
      <c r="N89" s="85"/>
    </row>
    <row r="90" spans="14:14">
      <c r="N90" s="85"/>
    </row>
    <row r="91" spans="14:14">
      <c r="N91" s="85"/>
    </row>
    <row r="92" spans="14:14">
      <c r="N92" s="85"/>
    </row>
    <row r="93" spans="14:14">
      <c r="N93" s="85"/>
    </row>
    <row r="94" spans="14:14">
      <c r="N94" s="85"/>
    </row>
    <row r="95" spans="14:14">
      <c r="N95" s="85"/>
    </row>
  </sheetData>
  <sheetProtection sheet="1" objects="1" scenarios="1"/>
  <mergeCells count="32">
    <mergeCell ref="D30:F30"/>
    <mergeCell ref="B1:H1"/>
    <mergeCell ref="B3:H3"/>
    <mergeCell ref="B5:F5"/>
    <mergeCell ref="D13:F13"/>
    <mergeCell ref="D15:F15"/>
    <mergeCell ref="D16:F16"/>
    <mergeCell ref="D17:F17"/>
    <mergeCell ref="D18:F18"/>
    <mergeCell ref="D22:F22"/>
    <mergeCell ref="D27:F27"/>
    <mergeCell ref="E28:F28"/>
    <mergeCell ref="E29:F29"/>
    <mergeCell ref="D45:F45"/>
    <mergeCell ref="D31:F31"/>
    <mergeCell ref="D32:F32"/>
    <mergeCell ref="E33:F33"/>
    <mergeCell ref="D36:F36"/>
    <mergeCell ref="D38:F38"/>
    <mergeCell ref="D39:F39"/>
    <mergeCell ref="D40:F40"/>
    <mergeCell ref="D41:F41"/>
    <mergeCell ref="D42:F42"/>
    <mergeCell ref="D43:F43"/>
    <mergeCell ref="D44:F44"/>
    <mergeCell ref="E61:F61"/>
    <mergeCell ref="D46:F46"/>
    <mergeCell ref="D50:F50"/>
    <mergeCell ref="D55:F55"/>
    <mergeCell ref="E56:F56"/>
    <mergeCell ref="D57:F57"/>
    <mergeCell ref="D58:F58"/>
  </mergeCells>
  <phoneticPr fontId="2" type="noConversion"/>
  <pageMargins left="0.59055118110236204" right="0.59055118110236204" top="0.59055118110236204" bottom="0.59055118110236204" header="0.43307086614173201" footer="0.43307086614173201"/>
  <pageSetup paperSize="9" scale="71" orientation="landscape" r:id="rId1"/>
  <headerFooter>
    <oddFooter>&amp;L&amp;8&amp;K000000© Legrafin                 &amp;D / &amp;T&amp;C&amp;8&amp;K000000Seite  &amp;P&amp;R&amp;8&amp;K000000&amp;F</oddFooter>
  </headerFooter>
  <colBreaks count="2" manualBreakCount="2">
    <brk id="14" max="1048575" man="1"/>
    <brk id="38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83"/>
  <sheetViews>
    <sheetView zoomScale="135" zoomScaleNormal="135" workbookViewId="0">
      <pane xSplit="5" ySplit="6" topLeftCell="F7" activePane="bottomRight" state="frozenSplit"/>
      <selection activeCell="M11" sqref="M11"/>
      <selection pane="topRight" activeCell="M11" sqref="M11"/>
      <selection pane="bottomLeft" activeCell="M11" sqref="M11"/>
      <selection pane="bottomRight" activeCell="F66" sqref="F66"/>
    </sheetView>
  </sheetViews>
  <sheetFormatPr baseColWidth="10" defaultColWidth="11.42578125" defaultRowHeight="11.25" outlineLevelRow="1"/>
  <cols>
    <col min="1" max="1" width="0.85546875" style="86" customWidth="1"/>
    <col min="2" max="2" width="4" style="101" customWidth="1"/>
    <col min="3" max="3" width="4.85546875" style="101" customWidth="1"/>
    <col min="4" max="4" width="1.7109375" style="101" customWidth="1"/>
    <col min="5" max="5" width="19" style="101" customWidth="1"/>
    <col min="6" max="12" width="7" style="101" customWidth="1"/>
    <col min="13" max="14" width="3.7109375" style="101" customWidth="1"/>
    <col min="15" max="20" width="8" style="86" customWidth="1"/>
    <col min="21" max="16384" width="11.42578125" style="86"/>
  </cols>
  <sheetData>
    <row r="1" spans="1:21" s="80" customFormat="1" ht="12">
      <c r="B1" s="758" t="str">
        <f>"Aufgaben- und Finanzplan "&amp;TEXT(Budget2,0)&amp;" - "&amp;TEXT(Finz1+4,0)</f>
        <v>Aufgaben- und Finanzplan 2022 - 2027</v>
      </c>
      <c r="C1" s="78"/>
      <c r="D1" s="78"/>
      <c r="E1" s="78"/>
      <c r="F1" s="78"/>
      <c r="G1" s="78"/>
      <c r="H1" s="78"/>
      <c r="I1" s="78"/>
      <c r="J1" s="78"/>
      <c r="K1" s="78"/>
      <c r="L1" s="245" t="str">
        <f>"Gemeinde "&amp;TEXT(Gemeinde,0)</f>
        <v>Gemeinde Menznau</v>
      </c>
      <c r="M1" s="78"/>
      <c r="N1" s="78"/>
    </row>
    <row r="2" spans="1:21" ht="12">
      <c r="N2" s="78"/>
      <c r="O2" s="80"/>
      <c r="P2" s="80"/>
      <c r="Q2" s="80"/>
      <c r="R2" s="80"/>
      <c r="S2" s="80"/>
      <c r="T2" s="80"/>
      <c r="U2" s="80"/>
    </row>
    <row r="3" spans="1:21" s="82" customFormat="1" ht="12.75">
      <c r="A3" s="185"/>
      <c r="B3" s="81" t="s">
        <v>332</v>
      </c>
      <c r="C3" s="81"/>
      <c r="D3" s="436"/>
      <c r="E3" s="436"/>
      <c r="F3" s="437"/>
      <c r="G3" s="437"/>
      <c r="H3" s="438"/>
      <c r="I3" s="438"/>
      <c r="J3" s="438"/>
      <c r="K3" s="438"/>
      <c r="L3" s="438"/>
      <c r="M3" s="439"/>
      <c r="N3" s="78"/>
      <c r="O3" s="80"/>
      <c r="P3" s="80"/>
      <c r="Q3" s="80"/>
      <c r="R3" s="80"/>
      <c r="S3" s="80"/>
      <c r="T3" s="80"/>
      <c r="U3" s="80"/>
    </row>
    <row r="4" spans="1:21" ht="12">
      <c r="F4" s="437"/>
      <c r="G4" s="437"/>
      <c r="H4" s="438"/>
      <c r="I4" s="438"/>
      <c r="J4" s="438"/>
      <c r="K4" s="438"/>
      <c r="L4" s="438"/>
      <c r="N4" s="78"/>
      <c r="O4" s="80"/>
      <c r="P4" s="80"/>
      <c r="Q4" s="80"/>
      <c r="R4" s="80"/>
      <c r="S4" s="80"/>
      <c r="T4" s="80"/>
      <c r="U4" s="80"/>
    </row>
    <row r="5" spans="1:21" ht="12">
      <c r="F5" s="437"/>
      <c r="G5" s="437"/>
      <c r="H5" s="403"/>
      <c r="I5" s="403"/>
      <c r="J5" s="403"/>
      <c r="K5" s="403"/>
      <c r="L5" s="403"/>
      <c r="N5" s="78"/>
      <c r="O5" s="80"/>
      <c r="P5" s="80"/>
      <c r="Q5" s="80"/>
      <c r="R5" s="80"/>
      <c r="S5" s="80"/>
      <c r="T5" s="80"/>
      <c r="U5" s="80"/>
    </row>
    <row r="6" spans="1:21" ht="12">
      <c r="B6" s="113" t="s">
        <v>161</v>
      </c>
      <c r="C6" s="103"/>
      <c r="D6" s="103"/>
      <c r="E6" s="103"/>
      <c r="F6" s="440">
        <f>Budget1</f>
        <v>2021</v>
      </c>
      <c r="G6" s="441">
        <f>Budget2</f>
        <v>2022</v>
      </c>
      <c r="H6" s="442">
        <f>Finz1</f>
        <v>2023</v>
      </c>
      <c r="I6" s="442">
        <f>H6+1</f>
        <v>2024</v>
      </c>
      <c r="J6" s="442">
        <f t="shared" ref="J6:L6" si="0">I6+1</f>
        <v>2025</v>
      </c>
      <c r="K6" s="442">
        <f t="shared" si="0"/>
        <v>2026</v>
      </c>
      <c r="L6" s="443">
        <f t="shared" si="0"/>
        <v>2027</v>
      </c>
      <c r="M6" s="103"/>
      <c r="N6" s="78"/>
      <c r="O6" s="80"/>
      <c r="P6" s="80"/>
      <c r="Q6" s="80"/>
      <c r="R6" s="80"/>
      <c r="S6" s="80"/>
      <c r="T6" s="80"/>
      <c r="U6" s="80"/>
    </row>
    <row r="7" spans="1:21" ht="12">
      <c r="B7" s="444"/>
      <c r="C7" s="103"/>
      <c r="D7" s="103"/>
      <c r="E7" s="103"/>
      <c r="M7" s="103"/>
      <c r="N7" s="78"/>
      <c r="O7" s="80"/>
      <c r="P7" s="80"/>
      <c r="Q7" s="80"/>
      <c r="R7" s="80"/>
      <c r="S7" s="80"/>
      <c r="T7" s="80"/>
      <c r="U7" s="80"/>
    </row>
    <row r="8" spans="1:21" ht="12">
      <c r="B8" s="444"/>
      <c r="C8" s="103"/>
      <c r="D8" s="103"/>
      <c r="E8" s="103"/>
      <c r="F8" s="445"/>
      <c r="G8" s="1083"/>
      <c r="H8" s="445"/>
      <c r="I8" s="445"/>
      <c r="J8" s="445"/>
      <c r="K8" s="445"/>
      <c r="L8" s="445"/>
      <c r="M8" s="103"/>
      <c r="N8" s="78"/>
      <c r="O8" s="80"/>
      <c r="P8" s="80"/>
      <c r="Q8" s="80"/>
      <c r="R8" s="80"/>
      <c r="S8" s="80"/>
      <c r="T8" s="80"/>
      <c r="U8" s="80"/>
    </row>
    <row r="9" spans="1:21" ht="12.75">
      <c r="B9" s="446">
        <v>1</v>
      </c>
      <c r="C9" s="447" t="s">
        <v>43</v>
      </c>
      <c r="D9" s="448"/>
      <c r="E9" s="449"/>
      <c r="F9" s="1156">
        <f>F11+F13</f>
        <v>35683</v>
      </c>
      <c r="G9" s="1141">
        <f t="shared" ref="G9:L9" si="1">G11+G13</f>
        <v>37094</v>
      </c>
      <c r="H9" s="1140">
        <f t="shared" si="1"/>
        <v>39273</v>
      </c>
      <c r="I9" s="1142">
        <f t="shared" si="1"/>
        <v>41369.119696969698</v>
      </c>
      <c r="J9" s="1142">
        <f t="shared" si="1"/>
        <v>42798.193939393939</v>
      </c>
      <c r="K9" s="1142">
        <f t="shared" si="1"/>
        <v>43163.222727272732</v>
      </c>
      <c r="L9" s="1143">
        <f t="shared" si="1"/>
        <v>42917.725757575754</v>
      </c>
      <c r="M9" s="403"/>
      <c r="N9" s="78"/>
      <c r="O9" s="80"/>
      <c r="P9" s="80"/>
      <c r="Q9" s="80"/>
      <c r="R9" s="80"/>
      <c r="S9" s="80"/>
      <c r="T9" s="80"/>
      <c r="U9" s="80"/>
    </row>
    <row r="10" spans="1:21" ht="12">
      <c r="B10" s="387"/>
      <c r="C10" s="430"/>
      <c r="D10" s="103"/>
      <c r="E10" s="103"/>
      <c r="F10" s="1157"/>
      <c r="G10" s="450"/>
      <c r="H10" s="103"/>
      <c r="I10" s="451"/>
      <c r="J10" s="451"/>
      <c r="K10" s="451"/>
      <c r="L10" s="452"/>
      <c r="M10" s="403"/>
      <c r="N10" s="78"/>
      <c r="O10" s="80"/>
      <c r="P10" s="80"/>
      <c r="Q10" s="80"/>
      <c r="R10" s="80"/>
      <c r="S10" s="80"/>
      <c r="T10" s="80"/>
      <c r="U10" s="80"/>
    </row>
    <row r="11" spans="1:21" ht="12.75">
      <c r="B11" s="453">
        <v>10</v>
      </c>
      <c r="C11" s="454" t="s">
        <v>44</v>
      </c>
      <c r="D11" s="455"/>
      <c r="E11" s="455"/>
      <c r="F11" s="1158">
        <f>'F1a Ausgangsbilanz'!F78</f>
        <v>11706</v>
      </c>
      <c r="G11" s="1149">
        <f>F11+SUM('F5a Zinsänderungen'!G50:G54)-SUM('F5a Zinsänderungen'!G43:G47)</f>
        <v>11706</v>
      </c>
      <c r="H11" s="1148">
        <f>G11+SUM('F5a Zinsänderungen'!H50:H54)-SUM('F5a Zinsänderungen'!H43:H47)</f>
        <v>11706</v>
      </c>
      <c r="I11" s="1150">
        <f>H11+SUM('F5a Zinsänderungen'!I50:I54)-SUM('F5a Zinsänderungen'!I43:I47)</f>
        <v>11706</v>
      </c>
      <c r="J11" s="1150">
        <f>I11+SUM('F5a Zinsänderungen'!J50:J54)-SUM('F5a Zinsänderungen'!J43:J47)</f>
        <v>11706</v>
      </c>
      <c r="K11" s="1150">
        <f>J11+SUM('F5a Zinsänderungen'!K50:K54)-SUM('F5a Zinsänderungen'!K43:K47)</f>
        <v>11706</v>
      </c>
      <c r="L11" s="1151">
        <f>K11+SUM('F5a Zinsänderungen'!L50:L54)-SUM('F5a Zinsänderungen'!L43:L47)</f>
        <v>11706</v>
      </c>
      <c r="M11" s="403"/>
      <c r="N11" s="78"/>
      <c r="O11" s="80"/>
      <c r="P11" s="80"/>
      <c r="Q11" s="80"/>
      <c r="R11" s="80"/>
      <c r="S11" s="80"/>
      <c r="T11" s="80"/>
      <c r="U11" s="80"/>
    </row>
    <row r="12" spans="1:21" ht="12.75">
      <c r="B12" s="453"/>
      <c r="C12" s="456"/>
      <c r="D12" s="456"/>
      <c r="E12" s="455"/>
      <c r="F12" s="1159"/>
      <c r="G12" s="1152"/>
      <c r="H12" s="1080"/>
      <c r="I12" s="1153"/>
      <c r="J12" s="1153"/>
      <c r="K12" s="1153"/>
      <c r="L12" s="1154"/>
      <c r="M12" s="403"/>
      <c r="N12" s="78"/>
      <c r="O12" s="342"/>
      <c r="P12" s="80"/>
      <c r="Q12" s="80"/>
      <c r="R12" s="80"/>
      <c r="S12" s="80"/>
      <c r="T12" s="80"/>
      <c r="U12" s="80"/>
    </row>
    <row r="13" spans="1:21" ht="12.75">
      <c r="B13" s="453">
        <v>14</v>
      </c>
      <c r="C13" s="454" t="s">
        <v>22</v>
      </c>
      <c r="D13" s="455"/>
      <c r="E13" s="455"/>
      <c r="F13" s="1158">
        <f>'F1a Ausgangsbilanz'!F80</f>
        <v>23977</v>
      </c>
      <c r="G13" s="1149">
        <f>'F4 Investitionsplanung VV'!Y14</f>
        <v>25388</v>
      </c>
      <c r="H13" s="1148">
        <f>'F4 Investitionsplanung VV'!Z14</f>
        <v>27567</v>
      </c>
      <c r="I13" s="1150">
        <f>'F4 Investitionsplanung VV'!AA14</f>
        <v>29663.119696969698</v>
      </c>
      <c r="J13" s="1150">
        <f>'F4 Investitionsplanung VV'!AB14</f>
        <v>31092.193939393939</v>
      </c>
      <c r="K13" s="1150">
        <f>'F4 Investitionsplanung VV'!AC14</f>
        <v>31457.222727272729</v>
      </c>
      <c r="L13" s="1151">
        <f>'F4 Investitionsplanung VV'!AD14</f>
        <v>31211.725757575758</v>
      </c>
      <c r="M13" s="403"/>
      <c r="O13" s="80"/>
      <c r="P13" s="80"/>
      <c r="Q13" s="80"/>
      <c r="R13" s="80"/>
      <c r="S13" s="80"/>
      <c r="T13" s="80"/>
      <c r="U13" s="80"/>
    </row>
    <row r="14" spans="1:21" ht="12" hidden="1" outlineLevel="1">
      <c r="B14" s="460"/>
      <c r="C14" s="461" t="str">
        <f>'F0a Konfiguration'!C11</f>
        <v>AB1</v>
      </c>
      <c r="D14" s="430" t="str">
        <f>'F0a Konfiguration'!E11</f>
        <v>Politik und Verwaltung</v>
      </c>
      <c r="E14" s="430"/>
      <c r="F14" s="1160">
        <f>'F4 Investitionsplanung VV'!$X$17</f>
        <v>1272</v>
      </c>
      <c r="G14" s="463">
        <f>'F4 Investitionsplanung VV'!$Y$17</f>
        <v>1278</v>
      </c>
      <c r="H14" s="462">
        <f>'F4 Investitionsplanung VV'!$Z$17</f>
        <v>1224</v>
      </c>
      <c r="I14" s="464">
        <f>'F4 Investitionsplanung VV'!$AA$17</f>
        <v>1134</v>
      </c>
      <c r="J14" s="464">
        <f>'F4 Investitionsplanung VV'!$AB$17</f>
        <v>1122.75</v>
      </c>
      <c r="K14" s="464">
        <f>'F4 Investitionsplanung VV'!$AC$17</f>
        <v>1029.5</v>
      </c>
      <c r="L14" s="465">
        <f>'F4 Investitionsplanung VV'!$AD$17</f>
        <v>926.25</v>
      </c>
      <c r="M14" s="403"/>
      <c r="N14" s="78"/>
      <c r="O14" s="80"/>
      <c r="P14" s="80"/>
      <c r="Q14" s="80"/>
      <c r="R14" s="80"/>
      <c r="S14" s="80"/>
      <c r="T14" s="80"/>
      <c r="U14" s="80"/>
    </row>
    <row r="15" spans="1:21" ht="12" hidden="1" outlineLevel="1">
      <c r="B15" s="460"/>
      <c r="C15" s="461" t="str">
        <f>'F0a Konfiguration'!C12</f>
        <v>AB2</v>
      </c>
      <c r="D15" s="430" t="str">
        <f>'F0a Konfiguration'!E12</f>
        <v>Bildung</v>
      </c>
      <c r="E15" s="430"/>
      <c r="F15" s="1160">
        <f>'F4 Investitionsplanung VV'!$X$27</f>
        <v>8621</v>
      </c>
      <c r="G15" s="463">
        <f>'F4 Investitionsplanung VV'!$Y$27</f>
        <v>8537</v>
      </c>
      <c r="H15" s="462">
        <f>'F4 Investitionsplanung VV'!$Z$27</f>
        <v>8788</v>
      </c>
      <c r="I15" s="464">
        <f>'F4 Investitionsplanung VV'!$AA$27</f>
        <v>8930.875</v>
      </c>
      <c r="J15" s="464">
        <f>'F4 Investitionsplanung VV'!$AB$27</f>
        <v>9069.875</v>
      </c>
      <c r="K15" s="464">
        <f>'F4 Investitionsplanung VV'!$AC$27</f>
        <v>8688.125</v>
      </c>
      <c r="L15" s="465">
        <f>'F4 Investitionsplanung VV'!$AD$27</f>
        <v>8581.375</v>
      </c>
      <c r="M15" s="403"/>
      <c r="N15" s="78"/>
      <c r="O15" s="80"/>
      <c r="P15" s="80"/>
      <c r="Q15" s="80"/>
      <c r="R15" s="80"/>
      <c r="S15" s="80"/>
      <c r="T15" s="80"/>
      <c r="U15" s="80"/>
    </row>
    <row r="16" spans="1:21" ht="12" hidden="1" outlineLevel="1">
      <c r="B16" s="460"/>
      <c r="C16" s="461" t="str">
        <f>'F0a Konfiguration'!C13</f>
        <v>AB3</v>
      </c>
      <c r="D16" s="430" t="str">
        <f>'F0a Konfiguration'!E13</f>
        <v>Freizeit, Jugend und Kultur</v>
      </c>
      <c r="E16" s="430"/>
      <c r="F16" s="1160">
        <f>'F4 Investitionsplanung VV'!$X$38</f>
        <v>1369</v>
      </c>
      <c r="G16" s="463">
        <f>'F4 Investitionsplanung VV'!$Y$38</f>
        <v>1339</v>
      </c>
      <c r="H16" s="462">
        <f>'F4 Investitionsplanung VV'!$Z$38</f>
        <v>1539</v>
      </c>
      <c r="I16" s="464">
        <f>'F4 Investitionsplanung VV'!$AA$38</f>
        <v>1732.25</v>
      </c>
      <c r="J16" s="464">
        <f>'F4 Investitionsplanung VV'!$AB$38</f>
        <v>1669.25</v>
      </c>
      <c r="K16" s="464">
        <f>'F4 Investitionsplanung VV'!$AC$38</f>
        <v>1606.25</v>
      </c>
      <c r="L16" s="465">
        <f>'F4 Investitionsplanung VV'!$AD$38</f>
        <v>1543.25</v>
      </c>
      <c r="M16" s="403"/>
      <c r="N16" s="78"/>
      <c r="O16" s="80"/>
      <c r="P16" s="80"/>
      <c r="Q16" s="80"/>
      <c r="R16" s="80"/>
      <c r="S16" s="80"/>
      <c r="T16" s="80"/>
      <c r="U16" s="80"/>
    </row>
    <row r="17" spans="2:21" ht="12" hidden="1" outlineLevel="1">
      <c r="B17" s="460"/>
      <c r="C17" s="461" t="str">
        <f>'F0a Konfiguration'!C14</f>
        <v>AB4</v>
      </c>
      <c r="D17" s="430" t="str">
        <f>'F0a Konfiguration'!E14</f>
        <v>Soziales, Gesundheit und Alter</v>
      </c>
      <c r="E17" s="430"/>
      <c r="F17" s="1160">
        <f>'F4 Investitionsplanung VV'!$X$45</f>
        <v>1591</v>
      </c>
      <c r="G17" s="463">
        <f>'F4 Investitionsplanung VV'!$Y$45</f>
        <v>1507</v>
      </c>
      <c r="H17" s="462">
        <f>'F4 Investitionsplanung VV'!$Z$45</f>
        <v>1421</v>
      </c>
      <c r="I17" s="464">
        <f>'F4 Investitionsplanung VV'!$AA$45</f>
        <v>1414.0530303030303</v>
      </c>
      <c r="J17" s="464">
        <f>'F4 Investitionsplanung VV'!$AB$45</f>
        <v>2176.560606060606</v>
      </c>
      <c r="K17" s="464">
        <f>'F4 Investitionsplanung VV'!$AC$45</f>
        <v>2791.189393939394</v>
      </c>
      <c r="L17" s="465">
        <f>'F4 Investitionsplanung VV'!$AD$45</f>
        <v>3081.5757575757575</v>
      </c>
      <c r="M17" s="403"/>
      <c r="N17" s="78"/>
      <c r="O17" s="80"/>
      <c r="P17" s="80"/>
      <c r="Q17" s="80"/>
      <c r="R17" s="80"/>
      <c r="S17" s="80"/>
      <c r="T17" s="80"/>
      <c r="U17" s="80"/>
    </row>
    <row r="18" spans="2:21" ht="12" hidden="1" outlineLevel="1">
      <c r="B18" s="460"/>
      <c r="C18" s="461" t="str">
        <f>'F0a Konfiguration'!C15</f>
        <v>AB5</v>
      </c>
      <c r="D18" s="430" t="str">
        <f>'F0a Konfiguration'!E15</f>
        <v>Infrastruktur, Sicherheit, Raumordnung und Umwelt</v>
      </c>
      <c r="E18" s="430"/>
      <c r="F18" s="1160">
        <f>'F4 Investitionsplanung VV'!$X$53</f>
        <v>11124</v>
      </c>
      <c r="G18" s="463">
        <f>'F4 Investitionsplanung VV'!$Y$53</f>
        <v>12791</v>
      </c>
      <c r="H18" s="462">
        <f>'F4 Investitionsplanung VV'!$Z$53</f>
        <v>14723</v>
      </c>
      <c r="I18" s="464">
        <f>'F4 Investitionsplanung VV'!$AA$53</f>
        <v>16643.941666666666</v>
      </c>
      <c r="J18" s="464">
        <f>'F4 Investitionsplanung VV'!$AB$53</f>
        <v>17309.758333333331</v>
      </c>
      <c r="K18" s="464">
        <f>'F4 Investitionsplanung VV'!$AC$53</f>
        <v>17662.158333333333</v>
      </c>
      <c r="L18" s="465">
        <f>'F4 Investitionsplanung VV'!$AD$53</f>
        <v>17463.274999999998</v>
      </c>
      <c r="M18" s="403"/>
      <c r="N18" s="78"/>
      <c r="O18" s="80"/>
      <c r="P18" s="80"/>
      <c r="Q18" s="80"/>
      <c r="R18" s="80"/>
      <c r="S18" s="80"/>
      <c r="T18" s="80"/>
      <c r="U18" s="80"/>
    </row>
    <row r="19" spans="2:21" ht="12" hidden="1" outlineLevel="1">
      <c r="B19" s="460"/>
      <c r="C19" s="461" t="str">
        <f>'F0a Konfiguration'!C16</f>
        <v>AB6</v>
      </c>
      <c r="D19" s="430" t="str">
        <f>'F0a Konfiguration'!E16</f>
        <v>Finanzen, Steuern und Abgaben</v>
      </c>
      <c r="E19" s="430"/>
      <c r="F19" s="1160">
        <f>'F4 Investitionsplanung VV'!$X$81</f>
        <v>0</v>
      </c>
      <c r="G19" s="463">
        <f>'F4 Investitionsplanung VV'!$Y$81</f>
        <v>0</v>
      </c>
      <c r="H19" s="462">
        <f>'F4 Investitionsplanung VV'!$Z$81</f>
        <v>0</v>
      </c>
      <c r="I19" s="464">
        <f>'F4 Investitionsplanung VV'!$AA$81</f>
        <v>0</v>
      </c>
      <c r="J19" s="464">
        <f>'F4 Investitionsplanung VV'!$AB$81</f>
        <v>0</v>
      </c>
      <c r="K19" s="464">
        <f>'F4 Investitionsplanung VV'!$AC$81</f>
        <v>0</v>
      </c>
      <c r="L19" s="465">
        <f>'F4 Investitionsplanung VV'!$AD$81</f>
        <v>0</v>
      </c>
      <c r="M19" s="403"/>
      <c r="N19" s="78"/>
      <c r="O19" s="80"/>
      <c r="P19" s="80"/>
      <c r="Q19" s="80"/>
      <c r="R19" s="80"/>
      <c r="S19" s="80"/>
      <c r="T19" s="80"/>
      <c r="U19" s="80"/>
    </row>
    <row r="20" spans="2:21" ht="12" hidden="1" outlineLevel="1">
      <c r="B20" s="460"/>
      <c r="C20" s="461">
        <f>'F0a Konfiguration'!C17</f>
        <v>0</v>
      </c>
      <c r="D20" s="430">
        <f>'F0a Konfiguration'!E17</f>
        <v>0</v>
      </c>
      <c r="E20" s="430"/>
      <c r="F20" s="1160" t="e">
        <f>'F4 Investitionsplanung VV'!#REF!</f>
        <v>#REF!</v>
      </c>
      <c r="G20" s="463" t="e">
        <f>'F4 Investitionsplanung VV'!#REF!</f>
        <v>#REF!</v>
      </c>
      <c r="H20" s="462" t="e">
        <f>'F4 Investitionsplanung VV'!#REF!</f>
        <v>#REF!</v>
      </c>
      <c r="I20" s="464" t="e">
        <f>'F4 Investitionsplanung VV'!#REF!</f>
        <v>#REF!</v>
      </c>
      <c r="J20" s="464" t="e">
        <f>'F4 Investitionsplanung VV'!#REF!</f>
        <v>#REF!</v>
      </c>
      <c r="K20" s="464" t="e">
        <f>'F4 Investitionsplanung VV'!#REF!</f>
        <v>#REF!</v>
      </c>
      <c r="L20" s="465" t="e">
        <f>'F4 Investitionsplanung VV'!#REF!</f>
        <v>#REF!</v>
      </c>
      <c r="M20" s="403"/>
      <c r="N20" s="78"/>
      <c r="O20" s="80"/>
      <c r="P20" s="80"/>
      <c r="Q20" s="80"/>
      <c r="R20" s="80"/>
      <c r="S20" s="80"/>
      <c r="T20" s="80"/>
      <c r="U20" s="80"/>
    </row>
    <row r="21" spans="2:21" ht="12" hidden="1" outlineLevel="1">
      <c r="B21" s="460"/>
      <c r="C21" s="461">
        <f>'F0a Konfiguration'!C18</f>
        <v>0</v>
      </c>
      <c r="D21" s="430">
        <f>'F0a Konfiguration'!E18</f>
        <v>0</v>
      </c>
      <c r="E21" s="430"/>
      <c r="F21" s="1160" t="e">
        <f>'F4 Investitionsplanung VV'!#REF!</f>
        <v>#REF!</v>
      </c>
      <c r="G21" s="463" t="e">
        <f>'F4 Investitionsplanung VV'!#REF!</f>
        <v>#REF!</v>
      </c>
      <c r="H21" s="462" t="e">
        <f>'F4 Investitionsplanung VV'!#REF!</f>
        <v>#REF!</v>
      </c>
      <c r="I21" s="464" t="e">
        <f>'F4 Investitionsplanung VV'!#REF!</f>
        <v>#REF!</v>
      </c>
      <c r="J21" s="464" t="e">
        <f>'F4 Investitionsplanung VV'!#REF!</f>
        <v>#REF!</v>
      </c>
      <c r="K21" s="464" t="e">
        <f>'F4 Investitionsplanung VV'!#REF!</f>
        <v>#REF!</v>
      </c>
      <c r="L21" s="465" t="e">
        <f>'F4 Investitionsplanung VV'!#REF!</f>
        <v>#REF!</v>
      </c>
      <c r="M21" s="403"/>
      <c r="N21" s="78"/>
      <c r="O21" s="80"/>
      <c r="P21" s="80"/>
      <c r="Q21" s="80"/>
      <c r="R21" s="80"/>
      <c r="S21" s="80"/>
      <c r="T21" s="80"/>
      <c r="U21" s="80"/>
    </row>
    <row r="22" spans="2:21" ht="12" hidden="1" outlineLevel="1">
      <c r="B22" s="460"/>
      <c r="C22" s="461">
        <f>'F0a Konfiguration'!C19</f>
        <v>0</v>
      </c>
      <c r="D22" s="430">
        <f>'F0a Konfiguration'!E19</f>
        <v>0</v>
      </c>
      <c r="E22" s="430"/>
      <c r="F22" s="1160" t="e">
        <f>'F4 Investitionsplanung VV'!#REF!</f>
        <v>#REF!</v>
      </c>
      <c r="G22" s="463" t="e">
        <f>'F4 Investitionsplanung VV'!#REF!</f>
        <v>#REF!</v>
      </c>
      <c r="H22" s="462" t="e">
        <f>'F4 Investitionsplanung VV'!#REF!</f>
        <v>#REF!</v>
      </c>
      <c r="I22" s="464" t="e">
        <f>'F4 Investitionsplanung VV'!#REF!</f>
        <v>#REF!</v>
      </c>
      <c r="J22" s="464" t="e">
        <f>'F4 Investitionsplanung VV'!#REF!</f>
        <v>#REF!</v>
      </c>
      <c r="K22" s="464" t="e">
        <f>'F4 Investitionsplanung VV'!#REF!</f>
        <v>#REF!</v>
      </c>
      <c r="L22" s="465" t="e">
        <f>'F4 Investitionsplanung VV'!#REF!</f>
        <v>#REF!</v>
      </c>
      <c r="M22" s="403"/>
      <c r="N22" s="78"/>
      <c r="O22" s="80"/>
      <c r="P22" s="80"/>
      <c r="Q22" s="80"/>
      <c r="R22" s="80"/>
      <c r="S22" s="80"/>
      <c r="T22" s="80"/>
      <c r="U22" s="80"/>
    </row>
    <row r="23" spans="2:21" ht="12" hidden="1" outlineLevel="1">
      <c r="B23" s="460"/>
      <c r="C23" s="461">
        <f>'F0a Konfiguration'!C20</f>
        <v>0</v>
      </c>
      <c r="D23" s="695">
        <f>'F0a Konfiguration'!E20</f>
        <v>0</v>
      </c>
      <c r="E23" s="695"/>
      <c r="F23" s="1160" t="e">
        <f>'F4 Investitionsplanung VV'!#REF!</f>
        <v>#REF!</v>
      </c>
      <c r="G23" s="463" t="e">
        <f>'F4 Investitionsplanung VV'!#REF!</f>
        <v>#REF!</v>
      </c>
      <c r="H23" s="462" t="e">
        <f>'F4 Investitionsplanung VV'!#REF!</f>
        <v>#REF!</v>
      </c>
      <c r="I23" s="464" t="e">
        <f>'F4 Investitionsplanung VV'!#REF!</f>
        <v>#REF!</v>
      </c>
      <c r="J23" s="464" t="e">
        <f>'F4 Investitionsplanung VV'!#REF!</f>
        <v>#REF!</v>
      </c>
      <c r="K23" s="464" t="e">
        <f>'F4 Investitionsplanung VV'!#REF!</f>
        <v>#REF!</v>
      </c>
      <c r="L23" s="465" t="e">
        <f>'F4 Investitionsplanung VV'!#REF!</f>
        <v>#REF!</v>
      </c>
      <c r="M23" s="403"/>
      <c r="N23" s="694"/>
      <c r="O23" s="80"/>
      <c r="P23" s="80"/>
      <c r="Q23" s="80"/>
      <c r="R23" s="80"/>
      <c r="S23" s="80"/>
      <c r="T23" s="80"/>
      <c r="U23" s="80"/>
    </row>
    <row r="24" spans="2:21" ht="12" hidden="1" outlineLevel="1">
      <c r="B24" s="460"/>
      <c r="C24" s="461" t="e">
        <f>'F0a Konfiguration'!#REF!</f>
        <v>#REF!</v>
      </c>
      <c r="D24" s="695" t="e">
        <f>'F0a Konfiguration'!#REF!</f>
        <v>#REF!</v>
      </c>
      <c r="E24" s="695"/>
      <c r="F24" s="1160" t="e">
        <f>'F4 Investitionsplanung VV'!#REF!</f>
        <v>#REF!</v>
      </c>
      <c r="G24" s="463" t="e">
        <f>'F4 Investitionsplanung VV'!#REF!</f>
        <v>#REF!</v>
      </c>
      <c r="H24" s="462" t="e">
        <f>'F4 Investitionsplanung VV'!#REF!</f>
        <v>#REF!</v>
      </c>
      <c r="I24" s="464" t="e">
        <f>'F4 Investitionsplanung VV'!#REF!</f>
        <v>#REF!</v>
      </c>
      <c r="J24" s="464" t="e">
        <f>'F4 Investitionsplanung VV'!#REF!</f>
        <v>#REF!</v>
      </c>
      <c r="K24" s="464" t="e">
        <f>'F4 Investitionsplanung VV'!#REF!</f>
        <v>#REF!</v>
      </c>
      <c r="L24" s="465" t="e">
        <f>'F4 Investitionsplanung VV'!#REF!</f>
        <v>#REF!</v>
      </c>
      <c r="M24" s="403"/>
      <c r="N24" s="694"/>
      <c r="O24" s="80"/>
      <c r="P24" s="80"/>
      <c r="Q24" s="80"/>
      <c r="R24" s="80"/>
      <c r="S24" s="80"/>
      <c r="T24" s="80"/>
      <c r="U24" s="80"/>
    </row>
    <row r="25" spans="2:21" ht="12" hidden="1" outlineLevel="1">
      <c r="B25" s="460"/>
      <c r="C25" s="461" t="e">
        <f>'F0a Konfiguration'!#REF!</f>
        <v>#REF!</v>
      </c>
      <c r="D25" s="695" t="e">
        <f>'F0a Konfiguration'!#REF!</f>
        <v>#REF!</v>
      </c>
      <c r="E25" s="695"/>
      <c r="F25" s="1160" t="e">
        <f>'F4 Investitionsplanung VV'!#REF!</f>
        <v>#REF!</v>
      </c>
      <c r="G25" s="463" t="e">
        <f>'F4 Investitionsplanung VV'!#REF!</f>
        <v>#REF!</v>
      </c>
      <c r="H25" s="462" t="e">
        <f>'F4 Investitionsplanung VV'!#REF!</f>
        <v>#REF!</v>
      </c>
      <c r="I25" s="464" t="e">
        <f>'F4 Investitionsplanung VV'!#REF!</f>
        <v>#REF!</v>
      </c>
      <c r="J25" s="464" t="e">
        <f>'F4 Investitionsplanung VV'!#REF!</f>
        <v>#REF!</v>
      </c>
      <c r="K25" s="464" t="e">
        <f>'F4 Investitionsplanung VV'!#REF!</f>
        <v>#REF!</v>
      </c>
      <c r="L25" s="465" t="e">
        <f>'F4 Investitionsplanung VV'!#REF!</f>
        <v>#REF!</v>
      </c>
      <c r="M25" s="403"/>
      <c r="N25" s="694"/>
      <c r="O25" s="80"/>
      <c r="P25" s="80"/>
      <c r="Q25" s="80"/>
      <c r="R25" s="80"/>
      <c r="S25" s="80"/>
      <c r="T25" s="80"/>
      <c r="U25" s="80"/>
    </row>
    <row r="26" spans="2:21" ht="12" hidden="1" outlineLevel="1">
      <c r="B26" s="460"/>
      <c r="C26" s="461" t="e">
        <f>'F0a Konfiguration'!#REF!</f>
        <v>#REF!</v>
      </c>
      <c r="D26" s="695" t="e">
        <f>'F0a Konfiguration'!#REF!</f>
        <v>#REF!</v>
      </c>
      <c r="E26" s="695"/>
      <c r="F26" s="1160" t="e">
        <f>'F4 Investitionsplanung VV'!#REF!</f>
        <v>#REF!</v>
      </c>
      <c r="G26" s="463" t="e">
        <f>'F4 Investitionsplanung VV'!#REF!</f>
        <v>#REF!</v>
      </c>
      <c r="H26" s="462" t="e">
        <f>'F4 Investitionsplanung VV'!#REF!</f>
        <v>#REF!</v>
      </c>
      <c r="I26" s="464" t="e">
        <f>'F4 Investitionsplanung VV'!#REF!</f>
        <v>#REF!</v>
      </c>
      <c r="J26" s="464" t="e">
        <f>'F4 Investitionsplanung VV'!#REF!</f>
        <v>#REF!</v>
      </c>
      <c r="K26" s="464" t="e">
        <f>'F4 Investitionsplanung VV'!#REF!</f>
        <v>#REF!</v>
      </c>
      <c r="L26" s="465" t="e">
        <f>'F4 Investitionsplanung VV'!#REF!</f>
        <v>#REF!</v>
      </c>
      <c r="M26" s="403"/>
      <c r="N26" s="694"/>
      <c r="O26" s="80"/>
      <c r="P26" s="80"/>
      <c r="Q26" s="80"/>
      <c r="R26" s="80"/>
      <c r="S26" s="80"/>
      <c r="T26" s="80"/>
      <c r="U26" s="80"/>
    </row>
    <row r="27" spans="2:21" ht="12" hidden="1" outlineLevel="1">
      <c r="B27" s="460"/>
      <c r="C27" s="461" t="e">
        <f>'F0a Konfiguration'!#REF!</f>
        <v>#REF!</v>
      </c>
      <c r="D27" s="695" t="e">
        <f>'F0a Konfiguration'!#REF!</f>
        <v>#REF!</v>
      </c>
      <c r="E27" s="695"/>
      <c r="F27" s="1160" t="e">
        <f>'F4 Investitionsplanung VV'!#REF!</f>
        <v>#REF!</v>
      </c>
      <c r="G27" s="463" t="e">
        <f>'F4 Investitionsplanung VV'!#REF!</f>
        <v>#REF!</v>
      </c>
      <c r="H27" s="462" t="e">
        <f>'F4 Investitionsplanung VV'!#REF!</f>
        <v>#REF!</v>
      </c>
      <c r="I27" s="464" t="e">
        <f>'F4 Investitionsplanung VV'!#REF!</f>
        <v>#REF!</v>
      </c>
      <c r="J27" s="464" t="e">
        <f>'F4 Investitionsplanung VV'!#REF!</f>
        <v>#REF!</v>
      </c>
      <c r="K27" s="464" t="e">
        <f>'F4 Investitionsplanung VV'!#REF!</f>
        <v>#REF!</v>
      </c>
      <c r="L27" s="465" t="e">
        <f>'F4 Investitionsplanung VV'!#REF!</f>
        <v>#REF!</v>
      </c>
      <c r="M27" s="403"/>
      <c r="N27" s="694"/>
      <c r="O27" s="80"/>
      <c r="P27" s="80"/>
      <c r="Q27" s="80"/>
      <c r="R27" s="80"/>
      <c r="S27" s="80"/>
      <c r="T27" s="80"/>
      <c r="U27" s="80"/>
    </row>
    <row r="28" spans="2:21" ht="12" hidden="1" outlineLevel="1">
      <c r="B28" s="460"/>
      <c r="C28" s="461" t="e">
        <f>'F0a Konfiguration'!#REF!</f>
        <v>#REF!</v>
      </c>
      <c r="D28" s="695" t="e">
        <f>'F0a Konfiguration'!#REF!</f>
        <v>#REF!</v>
      </c>
      <c r="E28" s="695"/>
      <c r="F28" s="1160" t="e">
        <f>'F4 Investitionsplanung VV'!#REF!</f>
        <v>#REF!</v>
      </c>
      <c r="G28" s="463" t="e">
        <f>'F4 Investitionsplanung VV'!#REF!</f>
        <v>#REF!</v>
      </c>
      <c r="H28" s="462" t="e">
        <f>'F4 Investitionsplanung VV'!#REF!</f>
        <v>#REF!</v>
      </c>
      <c r="I28" s="464" t="e">
        <f>'F4 Investitionsplanung VV'!#REF!</f>
        <v>#REF!</v>
      </c>
      <c r="J28" s="464" t="e">
        <f>'F4 Investitionsplanung VV'!#REF!</f>
        <v>#REF!</v>
      </c>
      <c r="K28" s="464" t="e">
        <f>'F4 Investitionsplanung VV'!#REF!</f>
        <v>#REF!</v>
      </c>
      <c r="L28" s="465" t="e">
        <f>'F4 Investitionsplanung VV'!#REF!</f>
        <v>#REF!</v>
      </c>
      <c r="M28" s="403"/>
      <c r="N28" s="694"/>
      <c r="O28" s="80"/>
      <c r="P28" s="80"/>
      <c r="Q28" s="80"/>
      <c r="R28" s="80"/>
      <c r="S28" s="80"/>
      <c r="T28" s="80"/>
      <c r="U28" s="80"/>
    </row>
    <row r="29" spans="2:21" ht="12" hidden="1" outlineLevel="1">
      <c r="B29" s="460"/>
      <c r="C29" s="461" t="e">
        <f>'F0a Konfiguration'!#REF!</f>
        <v>#REF!</v>
      </c>
      <c r="D29" s="695" t="e">
        <f>'F0a Konfiguration'!#REF!</f>
        <v>#REF!</v>
      </c>
      <c r="E29" s="695"/>
      <c r="F29" s="1160" t="e">
        <f>'F4 Investitionsplanung VV'!#REF!</f>
        <v>#REF!</v>
      </c>
      <c r="G29" s="463" t="e">
        <f>'F4 Investitionsplanung VV'!#REF!</f>
        <v>#REF!</v>
      </c>
      <c r="H29" s="462" t="e">
        <f>'F4 Investitionsplanung VV'!#REF!</f>
        <v>#REF!</v>
      </c>
      <c r="I29" s="464" t="e">
        <f>'F4 Investitionsplanung VV'!#REF!</f>
        <v>#REF!</v>
      </c>
      <c r="J29" s="464" t="e">
        <f>'F4 Investitionsplanung VV'!#REF!</f>
        <v>#REF!</v>
      </c>
      <c r="K29" s="464" t="e">
        <f>'F4 Investitionsplanung VV'!#REF!</f>
        <v>#REF!</v>
      </c>
      <c r="L29" s="465" t="e">
        <f>'F4 Investitionsplanung VV'!#REF!</f>
        <v>#REF!</v>
      </c>
      <c r="M29" s="403"/>
      <c r="N29" s="694"/>
      <c r="O29" s="80"/>
      <c r="P29" s="80"/>
      <c r="Q29" s="80"/>
      <c r="R29" s="80"/>
      <c r="S29" s="80"/>
      <c r="T29" s="80"/>
      <c r="U29" s="80"/>
    </row>
    <row r="30" spans="2:21" ht="12" hidden="1" outlineLevel="1">
      <c r="B30" s="460"/>
      <c r="C30" s="461" t="e">
        <f>'F0a Konfiguration'!#REF!</f>
        <v>#REF!</v>
      </c>
      <c r="D30" s="695" t="e">
        <f>'F0a Konfiguration'!#REF!</f>
        <v>#REF!</v>
      </c>
      <c r="E30" s="695"/>
      <c r="F30" s="1160" t="e">
        <f>'F4 Investitionsplanung VV'!#REF!</f>
        <v>#REF!</v>
      </c>
      <c r="G30" s="463" t="e">
        <f>'F4 Investitionsplanung VV'!#REF!</f>
        <v>#REF!</v>
      </c>
      <c r="H30" s="462" t="e">
        <f>'F4 Investitionsplanung VV'!#REF!</f>
        <v>#REF!</v>
      </c>
      <c r="I30" s="464" t="e">
        <f>'F4 Investitionsplanung VV'!#REF!</f>
        <v>#REF!</v>
      </c>
      <c r="J30" s="464" t="e">
        <f>'F4 Investitionsplanung VV'!#REF!</f>
        <v>#REF!</v>
      </c>
      <c r="K30" s="464" t="e">
        <f>'F4 Investitionsplanung VV'!#REF!</f>
        <v>#REF!</v>
      </c>
      <c r="L30" s="465" t="e">
        <f>'F4 Investitionsplanung VV'!#REF!</f>
        <v>#REF!</v>
      </c>
      <c r="M30" s="403"/>
      <c r="N30" s="694"/>
      <c r="O30" s="80"/>
      <c r="P30" s="80"/>
      <c r="Q30" s="80"/>
      <c r="R30" s="80"/>
      <c r="S30" s="80"/>
      <c r="T30" s="80"/>
      <c r="U30" s="80"/>
    </row>
    <row r="31" spans="2:21" ht="12" hidden="1" outlineLevel="1">
      <c r="B31" s="460"/>
      <c r="C31" s="461" t="e">
        <f>'F0a Konfiguration'!#REF!</f>
        <v>#REF!</v>
      </c>
      <c r="D31" s="695" t="e">
        <f>'F0a Konfiguration'!#REF!</f>
        <v>#REF!</v>
      </c>
      <c r="E31" s="695"/>
      <c r="F31" s="1160" t="e">
        <f>'F4 Investitionsplanung VV'!#REF!</f>
        <v>#REF!</v>
      </c>
      <c r="G31" s="463" t="e">
        <f>'F4 Investitionsplanung VV'!#REF!</f>
        <v>#REF!</v>
      </c>
      <c r="H31" s="462" t="e">
        <f>'F4 Investitionsplanung VV'!#REF!</f>
        <v>#REF!</v>
      </c>
      <c r="I31" s="464" t="e">
        <f>'F4 Investitionsplanung VV'!#REF!</f>
        <v>#REF!</v>
      </c>
      <c r="J31" s="464" t="e">
        <f>'F4 Investitionsplanung VV'!#REF!</f>
        <v>#REF!</v>
      </c>
      <c r="K31" s="464" t="e">
        <f>'F4 Investitionsplanung VV'!#REF!</f>
        <v>#REF!</v>
      </c>
      <c r="L31" s="465" t="e">
        <f>'F4 Investitionsplanung VV'!#REF!</f>
        <v>#REF!</v>
      </c>
      <c r="M31" s="403"/>
      <c r="N31" s="694"/>
      <c r="O31" s="80"/>
      <c r="P31" s="80"/>
      <c r="Q31" s="80"/>
      <c r="R31" s="80"/>
      <c r="S31" s="80"/>
      <c r="T31" s="80"/>
      <c r="U31" s="80"/>
    </row>
    <row r="32" spans="2:21" ht="12" hidden="1" outlineLevel="1">
      <c r="B32" s="460"/>
      <c r="C32" s="461" t="e">
        <f>'F0a Konfiguration'!#REF!</f>
        <v>#REF!</v>
      </c>
      <c r="D32" s="695" t="e">
        <f>'F0a Konfiguration'!#REF!</f>
        <v>#REF!</v>
      </c>
      <c r="E32" s="695"/>
      <c r="F32" s="1160" t="e">
        <f>'F4 Investitionsplanung VV'!#REF!</f>
        <v>#REF!</v>
      </c>
      <c r="G32" s="463" t="e">
        <f>'F4 Investitionsplanung VV'!#REF!</f>
        <v>#REF!</v>
      </c>
      <c r="H32" s="462" t="e">
        <f>'F4 Investitionsplanung VV'!#REF!</f>
        <v>#REF!</v>
      </c>
      <c r="I32" s="464" t="e">
        <f>'F4 Investitionsplanung VV'!#REF!</f>
        <v>#REF!</v>
      </c>
      <c r="J32" s="464" t="e">
        <f>'F4 Investitionsplanung VV'!#REF!</f>
        <v>#REF!</v>
      </c>
      <c r="K32" s="464" t="e">
        <f>'F4 Investitionsplanung VV'!#REF!</f>
        <v>#REF!</v>
      </c>
      <c r="L32" s="465" t="e">
        <f>'F4 Investitionsplanung VV'!#REF!</f>
        <v>#REF!</v>
      </c>
      <c r="M32" s="403"/>
      <c r="N32" s="694"/>
      <c r="O32" s="80"/>
      <c r="P32" s="80"/>
      <c r="Q32" s="80"/>
      <c r="R32" s="80"/>
      <c r="S32" s="80"/>
      <c r="T32" s="80"/>
      <c r="U32" s="80"/>
    </row>
    <row r="33" spans="2:21" ht="12" hidden="1" outlineLevel="1">
      <c r="B33" s="460"/>
      <c r="C33" s="461" t="e">
        <f>'F0a Konfiguration'!#REF!</f>
        <v>#REF!</v>
      </c>
      <c r="D33" s="695" t="e">
        <f>'F0a Konfiguration'!#REF!</f>
        <v>#REF!</v>
      </c>
      <c r="E33" s="695"/>
      <c r="F33" s="1160" t="e">
        <f>'F4 Investitionsplanung VV'!#REF!</f>
        <v>#REF!</v>
      </c>
      <c r="G33" s="463" t="e">
        <f>'F4 Investitionsplanung VV'!#REF!</f>
        <v>#REF!</v>
      </c>
      <c r="H33" s="462" t="e">
        <f>'F4 Investitionsplanung VV'!#REF!</f>
        <v>#REF!</v>
      </c>
      <c r="I33" s="464" t="e">
        <f>'F4 Investitionsplanung VV'!#REF!</f>
        <v>#REF!</v>
      </c>
      <c r="J33" s="464" t="e">
        <f>'F4 Investitionsplanung VV'!#REF!</f>
        <v>#REF!</v>
      </c>
      <c r="K33" s="464" t="e">
        <f>'F4 Investitionsplanung VV'!#REF!</f>
        <v>#REF!</v>
      </c>
      <c r="L33" s="465" t="e">
        <f>'F4 Investitionsplanung VV'!#REF!</f>
        <v>#REF!</v>
      </c>
      <c r="M33" s="403"/>
      <c r="N33" s="694"/>
      <c r="O33" s="80"/>
      <c r="P33" s="80"/>
      <c r="Q33" s="80"/>
      <c r="R33" s="80"/>
      <c r="S33" s="80"/>
      <c r="T33" s="80"/>
      <c r="U33" s="80"/>
    </row>
    <row r="34" spans="2:21" ht="12" hidden="1" outlineLevel="1">
      <c r="B34" s="460"/>
      <c r="C34" s="461" t="e">
        <f>'F0a Konfiguration'!#REF!</f>
        <v>#REF!</v>
      </c>
      <c r="D34" s="695" t="e">
        <f>'F0a Konfiguration'!#REF!</f>
        <v>#REF!</v>
      </c>
      <c r="E34" s="695"/>
      <c r="F34" s="1160" t="e">
        <f>'F4 Investitionsplanung VV'!#REF!</f>
        <v>#REF!</v>
      </c>
      <c r="G34" s="463" t="e">
        <f>'F4 Investitionsplanung VV'!#REF!</f>
        <v>#REF!</v>
      </c>
      <c r="H34" s="462" t="e">
        <f>'F4 Investitionsplanung VV'!#REF!</f>
        <v>#REF!</v>
      </c>
      <c r="I34" s="464" t="e">
        <f>'F4 Investitionsplanung VV'!#REF!</f>
        <v>#REF!</v>
      </c>
      <c r="J34" s="464" t="e">
        <f>'F4 Investitionsplanung VV'!#REF!</f>
        <v>#REF!</v>
      </c>
      <c r="K34" s="464" t="e">
        <f>'F4 Investitionsplanung VV'!#REF!</f>
        <v>#REF!</v>
      </c>
      <c r="L34" s="465" t="e">
        <f>'F4 Investitionsplanung VV'!#REF!</f>
        <v>#REF!</v>
      </c>
      <c r="M34" s="403"/>
      <c r="N34" s="694"/>
      <c r="O34" s="80"/>
      <c r="P34" s="80"/>
      <c r="Q34" s="80"/>
      <c r="R34" s="80"/>
      <c r="S34" s="80"/>
      <c r="T34" s="80"/>
      <c r="U34" s="80"/>
    </row>
    <row r="35" spans="2:21" ht="12" hidden="1" outlineLevel="1">
      <c r="B35" s="460"/>
      <c r="C35" s="461" t="e">
        <f>'F0a Konfiguration'!#REF!</f>
        <v>#REF!</v>
      </c>
      <c r="D35" s="695" t="e">
        <f>'F0a Konfiguration'!#REF!</f>
        <v>#REF!</v>
      </c>
      <c r="E35" s="695"/>
      <c r="F35" s="1160" t="e">
        <f>'F4 Investitionsplanung VV'!#REF!</f>
        <v>#REF!</v>
      </c>
      <c r="G35" s="463" t="e">
        <f>'F4 Investitionsplanung VV'!#REF!</f>
        <v>#REF!</v>
      </c>
      <c r="H35" s="462" t="e">
        <f>'F4 Investitionsplanung VV'!#REF!</f>
        <v>#REF!</v>
      </c>
      <c r="I35" s="464" t="e">
        <f>'F4 Investitionsplanung VV'!#REF!</f>
        <v>#REF!</v>
      </c>
      <c r="J35" s="464" t="e">
        <f>'F4 Investitionsplanung VV'!#REF!</f>
        <v>#REF!</v>
      </c>
      <c r="K35" s="464" t="e">
        <f>'F4 Investitionsplanung VV'!#REF!</f>
        <v>#REF!</v>
      </c>
      <c r="L35" s="465" t="e">
        <f>'F4 Investitionsplanung VV'!#REF!</f>
        <v>#REF!</v>
      </c>
      <c r="M35" s="403"/>
      <c r="N35" s="694"/>
      <c r="O35" s="80"/>
      <c r="P35" s="80"/>
      <c r="Q35" s="80"/>
      <c r="R35" s="80"/>
      <c r="S35" s="80"/>
      <c r="T35" s="80"/>
      <c r="U35" s="80"/>
    </row>
    <row r="36" spans="2:21" ht="12" hidden="1" outlineLevel="1">
      <c r="B36" s="460"/>
      <c r="C36" s="461" t="e">
        <f>'F0a Konfiguration'!#REF!</f>
        <v>#REF!</v>
      </c>
      <c r="D36" s="695" t="e">
        <f>'F0a Konfiguration'!#REF!</f>
        <v>#REF!</v>
      </c>
      <c r="E36" s="695"/>
      <c r="F36" s="1160" t="e">
        <f>'F4 Investitionsplanung VV'!#REF!</f>
        <v>#REF!</v>
      </c>
      <c r="G36" s="463" t="e">
        <f>'F4 Investitionsplanung VV'!#REF!</f>
        <v>#REF!</v>
      </c>
      <c r="H36" s="462" t="e">
        <f>'F4 Investitionsplanung VV'!#REF!</f>
        <v>#REF!</v>
      </c>
      <c r="I36" s="464" t="e">
        <f>'F4 Investitionsplanung VV'!#REF!</f>
        <v>#REF!</v>
      </c>
      <c r="J36" s="464" t="e">
        <f>'F4 Investitionsplanung VV'!#REF!</f>
        <v>#REF!</v>
      </c>
      <c r="K36" s="464" t="e">
        <f>'F4 Investitionsplanung VV'!#REF!</f>
        <v>#REF!</v>
      </c>
      <c r="L36" s="465" t="e">
        <f>'F4 Investitionsplanung VV'!#REF!</f>
        <v>#REF!</v>
      </c>
      <c r="M36" s="403"/>
      <c r="N36" s="694"/>
      <c r="O36" s="80"/>
      <c r="P36" s="80"/>
      <c r="Q36" s="80"/>
      <c r="R36" s="80"/>
      <c r="S36" s="80"/>
      <c r="T36" s="80"/>
      <c r="U36" s="80"/>
    </row>
    <row r="37" spans="2:21" ht="12" hidden="1" outlineLevel="1">
      <c r="B37" s="460"/>
      <c r="C37" s="461" t="e">
        <f>'F0a Konfiguration'!#REF!</f>
        <v>#REF!</v>
      </c>
      <c r="D37" s="695" t="e">
        <f>'F0a Konfiguration'!#REF!</f>
        <v>#REF!</v>
      </c>
      <c r="E37" s="695"/>
      <c r="F37" s="1160" t="e">
        <f>'F4 Investitionsplanung VV'!#REF!</f>
        <v>#REF!</v>
      </c>
      <c r="G37" s="463" t="e">
        <f>'F4 Investitionsplanung VV'!#REF!</f>
        <v>#REF!</v>
      </c>
      <c r="H37" s="462" t="e">
        <f>'F4 Investitionsplanung VV'!#REF!</f>
        <v>#REF!</v>
      </c>
      <c r="I37" s="464" t="e">
        <f>'F4 Investitionsplanung VV'!#REF!</f>
        <v>#REF!</v>
      </c>
      <c r="J37" s="464" t="e">
        <f>'F4 Investitionsplanung VV'!#REF!</f>
        <v>#REF!</v>
      </c>
      <c r="K37" s="464" t="e">
        <f>'F4 Investitionsplanung VV'!#REF!</f>
        <v>#REF!</v>
      </c>
      <c r="L37" s="465" t="e">
        <f>'F4 Investitionsplanung VV'!#REF!</f>
        <v>#REF!</v>
      </c>
      <c r="M37" s="403"/>
      <c r="N37" s="694"/>
      <c r="O37" s="80"/>
      <c r="P37" s="80"/>
      <c r="Q37" s="80"/>
      <c r="R37" s="80"/>
      <c r="S37" s="80"/>
      <c r="T37" s="80"/>
      <c r="U37" s="80"/>
    </row>
    <row r="38" spans="2:21" ht="12" hidden="1" outlineLevel="1">
      <c r="B38" s="460"/>
      <c r="C38" s="461" t="e">
        <f>'F0a Konfiguration'!#REF!</f>
        <v>#REF!</v>
      </c>
      <c r="D38" s="695" t="e">
        <f>'F0a Konfiguration'!#REF!</f>
        <v>#REF!</v>
      </c>
      <c r="E38" s="695"/>
      <c r="F38" s="1160" t="e">
        <f>'F4 Investitionsplanung VV'!#REF!</f>
        <v>#REF!</v>
      </c>
      <c r="G38" s="463" t="e">
        <f>'F4 Investitionsplanung VV'!#REF!</f>
        <v>#REF!</v>
      </c>
      <c r="H38" s="462" t="e">
        <f>'F4 Investitionsplanung VV'!#REF!</f>
        <v>#REF!</v>
      </c>
      <c r="I38" s="464" t="e">
        <f>'F4 Investitionsplanung VV'!#REF!</f>
        <v>#REF!</v>
      </c>
      <c r="J38" s="464" t="e">
        <f>'F4 Investitionsplanung VV'!#REF!</f>
        <v>#REF!</v>
      </c>
      <c r="K38" s="464" t="e">
        <f>'F4 Investitionsplanung VV'!#REF!</f>
        <v>#REF!</v>
      </c>
      <c r="L38" s="465" t="e">
        <f>'F4 Investitionsplanung VV'!#REF!</f>
        <v>#REF!</v>
      </c>
      <c r="M38" s="403"/>
      <c r="N38" s="694"/>
      <c r="O38" s="80"/>
      <c r="P38" s="80"/>
      <c r="Q38" s="80"/>
      <c r="R38" s="80"/>
      <c r="S38" s="80"/>
      <c r="T38" s="80"/>
      <c r="U38" s="80"/>
    </row>
    <row r="39" spans="2:21" ht="12" hidden="1" outlineLevel="1">
      <c r="B39" s="460"/>
      <c r="C39" s="461" t="e">
        <f>'F0a Konfiguration'!#REF!</f>
        <v>#REF!</v>
      </c>
      <c r="D39" s="695" t="e">
        <f>'F0a Konfiguration'!#REF!</f>
        <v>#REF!</v>
      </c>
      <c r="E39" s="695"/>
      <c r="F39" s="1160" t="e">
        <f>'F4 Investitionsplanung VV'!#REF!</f>
        <v>#REF!</v>
      </c>
      <c r="G39" s="463" t="e">
        <f>'F4 Investitionsplanung VV'!#REF!</f>
        <v>#REF!</v>
      </c>
      <c r="H39" s="462" t="e">
        <f>'F4 Investitionsplanung VV'!#REF!</f>
        <v>#REF!</v>
      </c>
      <c r="I39" s="464" t="e">
        <f>'F4 Investitionsplanung VV'!#REF!</f>
        <v>#REF!</v>
      </c>
      <c r="J39" s="464" t="e">
        <f>'F4 Investitionsplanung VV'!#REF!</f>
        <v>#REF!</v>
      </c>
      <c r="K39" s="464" t="e">
        <f>'F4 Investitionsplanung VV'!#REF!</f>
        <v>#REF!</v>
      </c>
      <c r="L39" s="465" t="e">
        <f>'F4 Investitionsplanung VV'!#REF!</f>
        <v>#REF!</v>
      </c>
      <c r="M39" s="403"/>
      <c r="N39" s="694"/>
      <c r="O39" s="80"/>
      <c r="P39" s="80"/>
      <c r="Q39" s="80"/>
      <c r="R39" s="80"/>
      <c r="S39" s="80"/>
      <c r="T39" s="80"/>
      <c r="U39" s="80"/>
    </row>
    <row r="40" spans="2:21" ht="12" hidden="1" outlineLevel="1">
      <c r="B40" s="460"/>
      <c r="C40" s="461" t="e">
        <f>'F0a Konfiguration'!#REF!</f>
        <v>#REF!</v>
      </c>
      <c r="D40" s="695" t="e">
        <f>'F0a Konfiguration'!#REF!</f>
        <v>#REF!</v>
      </c>
      <c r="E40" s="695"/>
      <c r="F40" s="1160" t="e">
        <f>'F4 Investitionsplanung VV'!#REF!</f>
        <v>#REF!</v>
      </c>
      <c r="G40" s="463" t="e">
        <f>'F4 Investitionsplanung VV'!#REF!</f>
        <v>#REF!</v>
      </c>
      <c r="H40" s="462" t="e">
        <f>'F4 Investitionsplanung VV'!#REF!</f>
        <v>#REF!</v>
      </c>
      <c r="I40" s="464" t="e">
        <f>'F4 Investitionsplanung VV'!#REF!</f>
        <v>#REF!</v>
      </c>
      <c r="J40" s="464" t="e">
        <f>'F4 Investitionsplanung VV'!#REF!</f>
        <v>#REF!</v>
      </c>
      <c r="K40" s="464" t="e">
        <f>'F4 Investitionsplanung VV'!#REF!</f>
        <v>#REF!</v>
      </c>
      <c r="L40" s="465" t="e">
        <f>'F4 Investitionsplanung VV'!#REF!</f>
        <v>#REF!</v>
      </c>
      <c r="M40" s="403"/>
      <c r="N40" s="694"/>
      <c r="O40" s="80"/>
      <c r="P40" s="80"/>
      <c r="Q40" s="80"/>
      <c r="R40" s="80"/>
      <c r="S40" s="80"/>
      <c r="T40" s="80"/>
      <c r="U40" s="80"/>
    </row>
    <row r="41" spans="2:21" ht="12" hidden="1" outlineLevel="1">
      <c r="B41" s="460"/>
      <c r="C41" s="461" t="e">
        <f>'F0a Konfiguration'!#REF!</f>
        <v>#REF!</v>
      </c>
      <c r="D41" s="695" t="e">
        <f>'F0a Konfiguration'!#REF!</f>
        <v>#REF!</v>
      </c>
      <c r="E41" s="695"/>
      <c r="F41" s="1160" t="e">
        <f>'F4 Investitionsplanung VV'!#REF!</f>
        <v>#REF!</v>
      </c>
      <c r="G41" s="463" t="e">
        <f>'F4 Investitionsplanung VV'!#REF!</f>
        <v>#REF!</v>
      </c>
      <c r="H41" s="462" t="e">
        <f>'F4 Investitionsplanung VV'!#REF!</f>
        <v>#REF!</v>
      </c>
      <c r="I41" s="464" t="e">
        <f>'F4 Investitionsplanung VV'!#REF!</f>
        <v>#REF!</v>
      </c>
      <c r="J41" s="464" t="e">
        <f>'F4 Investitionsplanung VV'!#REF!</f>
        <v>#REF!</v>
      </c>
      <c r="K41" s="464" t="e">
        <f>'F4 Investitionsplanung VV'!#REF!</f>
        <v>#REF!</v>
      </c>
      <c r="L41" s="465" t="e">
        <f>'F4 Investitionsplanung VV'!#REF!</f>
        <v>#REF!</v>
      </c>
      <c r="M41" s="403"/>
      <c r="N41" s="694"/>
      <c r="O41" s="80"/>
      <c r="P41" s="80"/>
      <c r="Q41" s="80"/>
      <c r="R41" s="80"/>
      <c r="S41" s="80"/>
      <c r="T41" s="80"/>
      <c r="U41" s="80"/>
    </row>
    <row r="42" spans="2:21" ht="12" hidden="1" outlineLevel="1">
      <c r="B42" s="460"/>
      <c r="C42" s="461" t="e">
        <f>'F0a Konfiguration'!#REF!</f>
        <v>#REF!</v>
      </c>
      <c r="D42" s="695" t="e">
        <f>'F0a Konfiguration'!#REF!</f>
        <v>#REF!</v>
      </c>
      <c r="E42" s="695"/>
      <c r="F42" s="1160" t="e">
        <f>'F4 Investitionsplanung VV'!#REF!</f>
        <v>#REF!</v>
      </c>
      <c r="G42" s="463" t="e">
        <f>'F4 Investitionsplanung VV'!#REF!</f>
        <v>#REF!</v>
      </c>
      <c r="H42" s="462" t="e">
        <f>'F4 Investitionsplanung VV'!#REF!</f>
        <v>#REF!</v>
      </c>
      <c r="I42" s="464" t="e">
        <f>'F4 Investitionsplanung VV'!#REF!</f>
        <v>#REF!</v>
      </c>
      <c r="J42" s="464" t="e">
        <f>'F4 Investitionsplanung VV'!#REF!</f>
        <v>#REF!</v>
      </c>
      <c r="K42" s="464" t="e">
        <f>'F4 Investitionsplanung VV'!#REF!</f>
        <v>#REF!</v>
      </c>
      <c r="L42" s="465" t="e">
        <f>'F4 Investitionsplanung VV'!#REF!</f>
        <v>#REF!</v>
      </c>
      <c r="M42" s="403"/>
      <c r="N42" s="694"/>
      <c r="O42" s="80"/>
      <c r="P42" s="80"/>
      <c r="Q42" s="80"/>
      <c r="R42" s="80"/>
      <c r="S42" s="80"/>
      <c r="T42" s="80"/>
      <c r="U42" s="80"/>
    </row>
    <row r="43" spans="2:21" ht="12" hidden="1" outlineLevel="1">
      <c r="B43" s="460"/>
      <c r="C43" s="461" t="e">
        <f>'F0a Konfiguration'!#REF!</f>
        <v>#REF!</v>
      </c>
      <c r="D43" s="695" t="e">
        <f>'F0a Konfiguration'!#REF!</f>
        <v>#REF!</v>
      </c>
      <c r="E43" s="695"/>
      <c r="F43" s="1160" t="e">
        <f>'F4 Investitionsplanung VV'!#REF!</f>
        <v>#REF!</v>
      </c>
      <c r="G43" s="463" t="e">
        <f>'F4 Investitionsplanung VV'!#REF!</f>
        <v>#REF!</v>
      </c>
      <c r="H43" s="462" t="e">
        <f>'F4 Investitionsplanung VV'!#REF!</f>
        <v>#REF!</v>
      </c>
      <c r="I43" s="464" t="e">
        <f>'F4 Investitionsplanung VV'!#REF!</f>
        <v>#REF!</v>
      </c>
      <c r="J43" s="464" t="e">
        <f>'F4 Investitionsplanung VV'!#REF!</f>
        <v>#REF!</v>
      </c>
      <c r="K43" s="464" t="e">
        <f>'F4 Investitionsplanung VV'!#REF!</f>
        <v>#REF!</v>
      </c>
      <c r="L43" s="465" t="e">
        <f>'F4 Investitionsplanung VV'!#REF!</f>
        <v>#REF!</v>
      </c>
      <c r="M43" s="403"/>
      <c r="N43" s="694"/>
      <c r="O43" s="80"/>
      <c r="P43" s="80"/>
      <c r="Q43" s="80"/>
      <c r="R43" s="80"/>
      <c r="S43" s="80"/>
      <c r="T43" s="80"/>
      <c r="U43" s="80"/>
    </row>
    <row r="44" spans="2:21" ht="12" hidden="1" outlineLevel="1">
      <c r="B44" s="460"/>
      <c r="C44" s="461" t="e">
        <f>'F0a Konfiguration'!#REF!</f>
        <v>#REF!</v>
      </c>
      <c r="D44" s="695" t="e">
        <f>'F0a Konfiguration'!#REF!</f>
        <v>#REF!</v>
      </c>
      <c r="E44" s="695"/>
      <c r="F44" s="1160" t="e">
        <f>'F4 Investitionsplanung VV'!#REF!</f>
        <v>#REF!</v>
      </c>
      <c r="G44" s="463" t="e">
        <f>'F4 Investitionsplanung VV'!#REF!</f>
        <v>#REF!</v>
      </c>
      <c r="H44" s="462" t="e">
        <f>'F4 Investitionsplanung VV'!#REF!</f>
        <v>#REF!</v>
      </c>
      <c r="I44" s="464" t="e">
        <f>'F4 Investitionsplanung VV'!#REF!</f>
        <v>#REF!</v>
      </c>
      <c r="J44" s="464" t="e">
        <f>'F4 Investitionsplanung VV'!#REF!</f>
        <v>#REF!</v>
      </c>
      <c r="K44" s="464" t="e">
        <f>'F4 Investitionsplanung VV'!#REF!</f>
        <v>#REF!</v>
      </c>
      <c r="L44" s="465" t="e">
        <f>'F4 Investitionsplanung VV'!#REF!</f>
        <v>#REF!</v>
      </c>
      <c r="M44" s="403"/>
      <c r="N44" s="694"/>
      <c r="O44" s="80"/>
      <c r="P44" s="80"/>
      <c r="Q44" s="80"/>
      <c r="R44" s="80"/>
      <c r="S44" s="80"/>
      <c r="T44" s="80"/>
      <c r="U44" s="80"/>
    </row>
    <row r="45" spans="2:21" ht="12" hidden="1" outlineLevel="1">
      <c r="B45" s="460"/>
      <c r="C45" s="461" t="e">
        <f>'F0a Konfiguration'!#REF!</f>
        <v>#REF!</v>
      </c>
      <c r="D45" s="695" t="e">
        <f>'F0a Konfiguration'!#REF!</f>
        <v>#REF!</v>
      </c>
      <c r="E45" s="695"/>
      <c r="F45" s="1160" t="e">
        <f>'F4 Investitionsplanung VV'!#REF!</f>
        <v>#REF!</v>
      </c>
      <c r="G45" s="463" t="e">
        <f>'F4 Investitionsplanung VV'!#REF!</f>
        <v>#REF!</v>
      </c>
      <c r="H45" s="462" t="e">
        <f>'F4 Investitionsplanung VV'!#REF!</f>
        <v>#REF!</v>
      </c>
      <c r="I45" s="464" t="e">
        <f>'F4 Investitionsplanung VV'!#REF!</f>
        <v>#REF!</v>
      </c>
      <c r="J45" s="464" t="e">
        <f>'F4 Investitionsplanung VV'!#REF!</f>
        <v>#REF!</v>
      </c>
      <c r="K45" s="464" t="e">
        <f>'F4 Investitionsplanung VV'!#REF!</f>
        <v>#REF!</v>
      </c>
      <c r="L45" s="465" t="e">
        <f>'F4 Investitionsplanung VV'!#REF!</f>
        <v>#REF!</v>
      </c>
      <c r="M45" s="403"/>
      <c r="N45" s="694"/>
      <c r="O45" s="80"/>
      <c r="P45" s="80"/>
      <c r="Q45" s="80"/>
      <c r="R45" s="80"/>
      <c r="S45" s="80"/>
      <c r="T45" s="80"/>
      <c r="U45" s="80"/>
    </row>
    <row r="46" spans="2:21" ht="12" hidden="1" outlineLevel="1">
      <c r="B46" s="460"/>
      <c r="C46" s="461" t="e">
        <f>'F0a Konfiguration'!#REF!</f>
        <v>#REF!</v>
      </c>
      <c r="D46" s="695" t="e">
        <f>'F0a Konfiguration'!#REF!</f>
        <v>#REF!</v>
      </c>
      <c r="E46" s="695"/>
      <c r="F46" s="1160" t="e">
        <f>'F4 Investitionsplanung VV'!#REF!</f>
        <v>#REF!</v>
      </c>
      <c r="G46" s="463" t="e">
        <f>'F4 Investitionsplanung VV'!#REF!</f>
        <v>#REF!</v>
      </c>
      <c r="H46" s="462" t="e">
        <f>'F4 Investitionsplanung VV'!#REF!</f>
        <v>#REF!</v>
      </c>
      <c r="I46" s="464" t="e">
        <f>'F4 Investitionsplanung VV'!#REF!</f>
        <v>#REF!</v>
      </c>
      <c r="J46" s="464" t="e">
        <f>'F4 Investitionsplanung VV'!#REF!</f>
        <v>#REF!</v>
      </c>
      <c r="K46" s="464" t="e">
        <f>'F4 Investitionsplanung VV'!#REF!</f>
        <v>#REF!</v>
      </c>
      <c r="L46" s="465" t="e">
        <f>'F4 Investitionsplanung VV'!#REF!</f>
        <v>#REF!</v>
      </c>
      <c r="M46" s="403"/>
      <c r="N46" s="694"/>
      <c r="O46" s="80"/>
      <c r="P46" s="80"/>
      <c r="Q46" s="80"/>
      <c r="R46" s="80"/>
      <c r="S46" s="80"/>
      <c r="T46" s="80"/>
      <c r="U46" s="80"/>
    </row>
    <row r="47" spans="2:21" ht="12" hidden="1" outlineLevel="1">
      <c r="B47" s="460"/>
      <c r="C47" s="461" t="e">
        <f>'F0a Konfiguration'!#REF!</f>
        <v>#REF!</v>
      </c>
      <c r="D47" s="695" t="e">
        <f>'F0a Konfiguration'!#REF!</f>
        <v>#REF!</v>
      </c>
      <c r="E47" s="695"/>
      <c r="F47" s="1160" t="e">
        <f>'F4 Investitionsplanung VV'!#REF!</f>
        <v>#REF!</v>
      </c>
      <c r="G47" s="463" t="e">
        <f>'F4 Investitionsplanung VV'!#REF!</f>
        <v>#REF!</v>
      </c>
      <c r="H47" s="462" t="e">
        <f>'F4 Investitionsplanung VV'!#REF!</f>
        <v>#REF!</v>
      </c>
      <c r="I47" s="464" t="e">
        <f>'F4 Investitionsplanung VV'!#REF!</f>
        <v>#REF!</v>
      </c>
      <c r="J47" s="464" t="e">
        <f>'F4 Investitionsplanung VV'!#REF!</f>
        <v>#REF!</v>
      </c>
      <c r="K47" s="464" t="e">
        <f>'F4 Investitionsplanung VV'!#REF!</f>
        <v>#REF!</v>
      </c>
      <c r="L47" s="465" t="e">
        <f>'F4 Investitionsplanung VV'!#REF!</f>
        <v>#REF!</v>
      </c>
      <c r="M47" s="403"/>
      <c r="N47" s="694"/>
      <c r="O47" s="80"/>
      <c r="P47" s="80"/>
      <c r="Q47" s="80"/>
      <c r="R47" s="80"/>
      <c r="S47" s="80"/>
      <c r="T47" s="80"/>
      <c r="U47" s="80"/>
    </row>
    <row r="48" spans="2:21" ht="12" hidden="1" outlineLevel="1">
      <c r="B48" s="460"/>
      <c r="C48" s="461" t="e">
        <f>'F0a Konfiguration'!#REF!</f>
        <v>#REF!</v>
      </c>
      <c r="D48" s="695" t="e">
        <f>'F0a Konfiguration'!#REF!</f>
        <v>#REF!</v>
      </c>
      <c r="E48" s="695"/>
      <c r="F48" s="1160" t="e">
        <f>'F4 Investitionsplanung VV'!#REF!</f>
        <v>#REF!</v>
      </c>
      <c r="G48" s="463" t="e">
        <f>'F4 Investitionsplanung VV'!#REF!</f>
        <v>#REF!</v>
      </c>
      <c r="H48" s="462" t="e">
        <f>'F4 Investitionsplanung VV'!#REF!</f>
        <v>#REF!</v>
      </c>
      <c r="I48" s="464" t="e">
        <f>'F4 Investitionsplanung VV'!#REF!</f>
        <v>#REF!</v>
      </c>
      <c r="J48" s="464" t="e">
        <f>'F4 Investitionsplanung VV'!#REF!</f>
        <v>#REF!</v>
      </c>
      <c r="K48" s="464" t="e">
        <f>'F4 Investitionsplanung VV'!#REF!</f>
        <v>#REF!</v>
      </c>
      <c r="L48" s="465" t="e">
        <f>'F4 Investitionsplanung VV'!#REF!</f>
        <v>#REF!</v>
      </c>
      <c r="M48" s="403"/>
      <c r="N48" s="694"/>
      <c r="O48" s="80"/>
      <c r="P48" s="80"/>
      <c r="Q48" s="80"/>
      <c r="R48" s="80"/>
      <c r="S48" s="80"/>
      <c r="T48" s="80"/>
      <c r="U48" s="80"/>
    </row>
    <row r="49" spans="1:21" ht="12" hidden="1" outlineLevel="1">
      <c r="B49" s="460"/>
      <c r="C49" s="461" t="e">
        <f>'F0a Konfiguration'!#REF!</f>
        <v>#REF!</v>
      </c>
      <c r="D49" s="695" t="e">
        <f>'F0a Konfiguration'!#REF!</f>
        <v>#REF!</v>
      </c>
      <c r="E49" s="695"/>
      <c r="F49" s="1160" t="e">
        <f>'F4 Investitionsplanung VV'!#REF!</f>
        <v>#REF!</v>
      </c>
      <c r="G49" s="463" t="e">
        <f>'F4 Investitionsplanung VV'!#REF!</f>
        <v>#REF!</v>
      </c>
      <c r="H49" s="462" t="e">
        <f>'F4 Investitionsplanung VV'!#REF!</f>
        <v>#REF!</v>
      </c>
      <c r="I49" s="464" t="e">
        <f>'F4 Investitionsplanung VV'!#REF!</f>
        <v>#REF!</v>
      </c>
      <c r="J49" s="464" t="e">
        <f>'F4 Investitionsplanung VV'!#REF!</f>
        <v>#REF!</v>
      </c>
      <c r="K49" s="464" t="e">
        <f>'F4 Investitionsplanung VV'!#REF!</f>
        <v>#REF!</v>
      </c>
      <c r="L49" s="465" t="e">
        <f>'F4 Investitionsplanung VV'!#REF!</f>
        <v>#REF!</v>
      </c>
      <c r="M49" s="403"/>
      <c r="N49" s="694"/>
      <c r="O49" s="80"/>
      <c r="P49" s="80"/>
      <c r="Q49" s="80"/>
      <c r="R49" s="80"/>
      <c r="S49" s="80"/>
      <c r="T49" s="80"/>
      <c r="U49" s="80"/>
    </row>
    <row r="50" spans="1:21" ht="12" hidden="1" outlineLevel="1">
      <c r="B50" s="460"/>
      <c r="C50" s="461" t="e">
        <f>'F0a Konfiguration'!#REF!</f>
        <v>#REF!</v>
      </c>
      <c r="D50" s="695" t="e">
        <f>'F0a Konfiguration'!#REF!</f>
        <v>#REF!</v>
      </c>
      <c r="E50" s="695"/>
      <c r="F50" s="1160" t="e">
        <f>'F4 Investitionsplanung VV'!#REF!</f>
        <v>#REF!</v>
      </c>
      <c r="G50" s="463" t="e">
        <f>'F4 Investitionsplanung VV'!#REF!</f>
        <v>#REF!</v>
      </c>
      <c r="H50" s="462" t="e">
        <f>'F4 Investitionsplanung VV'!#REF!</f>
        <v>#REF!</v>
      </c>
      <c r="I50" s="464" t="e">
        <f>'F4 Investitionsplanung VV'!#REF!</f>
        <v>#REF!</v>
      </c>
      <c r="J50" s="464" t="e">
        <f>'F4 Investitionsplanung VV'!#REF!</f>
        <v>#REF!</v>
      </c>
      <c r="K50" s="464" t="e">
        <f>'F4 Investitionsplanung VV'!#REF!</f>
        <v>#REF!</v>
      </c>
      <c r="L50" s="465" t="e">
        <f>'F4 Investitionsplanung VV'!#REF!</f>
        <v>#REF!</v>
      </c>
      <c r="M50" s="403"/>
      <c r="N50" s="694"/>
      <c r="O50" s="80"/>
      <c r="P50" s="80"/>
      <c r="Q50" s="80"/>
      <c r="R50" s="80"/>
      <c r="S50" s="80"/>
      <c r="T50" s="80"/>
      <c r="U50" s="80"/>
    </row>
    <row r="51" spans="1:21" ht="12" hidden="1" outlineLevel="1">
      <c r="B51" s="460"/>
      <c r="C51" s="461" t="e">
        <f>'F0a Konfiguration'!#REF!</f>
        <v>#REF!</v>
      </c>
      <c r="D51" s="695" t="e">
        <f>'F0a Konfiguration'!#REF!</f>
        <v>#REF!</v>
      </c>
      <c r="E51" s="695"/>
      <c r="F51" s="1160" t="e">
        <f>'F4 Investitionsplanung VV'!#REF!</f>
        <v>#REF!</v>
      </c>
      <c r="G51" s="463" t="e">
        <f>'F4 Investitionsplanung VV'!#REF!</f>
        <v>#REF!</v>
      </c>
      <c r="H51" s="462" t="e">
        <f>'F4 Investitionsplanung VV'!#REF!</f>
        <v>#REF!</v>
      </c>
      <c r="I51" s="464" t="e">
        <f>'F4 Investitionsplanung VV'!#REF!</f>
        <v>#REF!</v>
      </c>
      <c r="J51" s="464" t="e">
        <f>'F4 Investitionsplanung VV'!#REF!</f>
        <v>#REF!</v>
      </c>
      <c r="K51" s="464" t="e">
        <f>'F4 Investitionsplanung VV'!#REF!</f>
        <v>#REF!</v>
      </c>
      <c r="L51" s="465" t="e">
        <f>'F4 Investitionsplanung VV'!#REF!</f>
        <v>#REF!</v>
      </c>
      <c r="M51" s="403"/>
      <c r="N51" s="694"/>
      <c r="O51" s="80"/>
      <c r="P51" s="80"/>
      <c r="Q51" s="80"/>
      <c r="R51" s="80"/>
      <c r="S51" s="80"/>
      <c r="T51" s="80"/>
      <c r="U51" s="80"/>
    </row>
    <row r="52" spans="1:21" ht="12" hidden="1" outlineLevel="1">
      <c r="B52" s="460"/>
      <c r="C52" s="461" t="e">
        <f>'F0a Konfiguration'!#REF!</f>
        <v>#REF!</v>
      </c>
      <c r="D52" s="695" t="e">
        <f>'F0a Konfiguration'!#REF!</f>
        <v>#REF!</v>
      </c>
      <c r="E52" s="695"/>
      <c r="F52" s="1160" t="e">
        <f>'F4 Investitionsplanung VV'!#REF!</f>
        <v>#REF!</v>
      </c>
      <c r="G52" s="463" t="e">
        <f>'F4 Investitionsplanung VV'!#REF!</f>
        <v>#REF!</v>
      </c>
      <c r="H52" s="462" t="e">
        <f>'F4 Investitionsplanung VV'!#REF!</f>
        <v>#REF!</v>
      </c>
      <c r="I52" s="464" t="e">
        <f>'F4 Investitionsplanung VV'!#REF!</f>
        <v>#REF!</v>
      </c>
      <c r="J52" s="464" t="e">
        <f>'F4 Investitionsplanung VV'!#REF!</f>
        <v>#REF!</v>
      </c>
      <c r="K52" s="464" t="e">
        <f>'F4 Investitionsplanung VV'!#REF!</f>
        <v>#REF!</v>
      </c>
      <c r="L52" s="465" t="e">
        <f>'F4 Investitionsplanung VV'!#REF!</f>
        <v>#REF!</v>
      </c>
      <c r="M52" s="403"/>
      <c r="N52" s="694"/>
      <c r="O52" s="80"/>
      <c r="P52" s="80"/>
      <c r="Q52" s="80"/>
      <c r="R52" s="80"/>
      <c r="S52" s="80"/>
      <c r="T52" s="80"/>
      <c r="U52" s="80"/>
    </row>
    <row r="53" spans="1:21" ht="12" hidden="1" outlineLevel="1">
      <c r="B53" s="460"/>
      <c r="C53" s="461" t="e">
        <f>'F0a Konfiguration'!#REF!</f>
        <v>#REF!</v>
      </c>
      <c r="D53" s="695" t="e">
        <f>'F0a Konfiguration'!#REF!</f>
        <v>#REF!</v>
      </c>
      <c r="E53" s="695"/>
      <c r="F53" s="1160" t="e">
        <f>'F4 Investitionsplanung VV'!#REF!</f>
        <v>#REF!</v>
      </c>
      <c r="G53" s="463" t="e">
        <f>'F4 Investitionsplanung VV'!#REF!</f>
        <v>#REF!</v>
      </c>
      <c r="H53" s="462" t="e">
        <f>'F4 Investitionsplanung VV'!#REF!</f>
        <v>#REF!</v>
      </c>
      <c r="I53" s="464" t="e">
        <f>'F4 Investitionsplanung VV'!#REF!</f>
        <v>#REF!</v>
      </c>
      <c r="J53" s="464" t="e">
        <f>'F4 Investitionsplanung VV'!#REF!</f>
        <v>#REF!</v>
      </c>
      <c r="K53" s="464" t="e">
        <f>'F4 Investitionsplanung VV'!#REF!</f>
        <v>#REF!</v>
      </c>
      <c r="L53" s="465" t="e">
        <f>'F4 Investitionsplanung VV'!#REF!</f>
        <v>#REF!</v>
      </c>
      <c r="M53" s="403"/>
      <c r="N53" s="78"/>
      <c r="O53" s="80"/>
      <c r="P53" s="80"/>
      <c r="Q53" s="80"/>
      <c r="R53" s="80"/>
      <c r="S53" s="80"/>
      <c r="T53" s="80"/>
      <c r="U53" s="80"/>
    </row>
    <row r="54" spans="1:21" ht="12" collapsed="1">
      <c r="B54" s="466"/>
      <c r="C54" s="467"/>
      <c r="D54" s="468"/>
      <c r="E54" s="468"/>
      <c r="F54" s="1161"/>
      <c r="G54" s="469"/>
      <c r="H54" s="470"/>
      <c r="I54" s="471"/>
      <c r="J54" s="471"/>
      <c r="K54" s="471"/>
      <c r="L54" s="472"/>
      <c r="M54" s="403"/>
      <c r="N54" s="78"/>
      <c r="O54" s="80"/>
      <c r="P54" s="80"/>
      <c r="Q54" s="80"/>
      <c r="R54" s="80"/>
      <c r="S54" s="80"/>
      <c r="T54" s="80"/>
      <c r="U54" s="80"/>
    </row>
    <row r="55" spans="1:21" ht="12">
      <c r="A55" s="361"/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78"/>
      <c r="O55" s="80"/>
      <c r="P55" s="80"/>
      <c r="Q55" s="80"/>
      <c r="R55" s="80"/>
      <c r="S55" s="80"/>
      <c r="T55" s="80"/>
      <c r="U55" s="80"/>
    </row>
    <row r="56" spans="1:21" ht="12">
      <c r="A56" s="361"/>
      <c r="B56" s="361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78"/>
      <c r="O56" s="80"/>
      <c r="P56" s="80"/>
      <c r="Q56" s="80"/>
      <c r="R56" s="80"/>
      <c r="S56" s="80"/>
      <c r="T56" s="80"/>
      <c r="U56" s="80"/>
    </row>
    <row r="57" spans="1:21" ht="12.75">
      <c r="B57" s="446">
        <v>2</v>
      </c>
      <c r="C57" s="447" t="s">
        <v>16</v>
      </c>
      <c r="D57" s="448"/>
      <c r="E57" s="449"/>
      <c r="F57" s="1156">
        <f>F59+F61</f>
        <v>35683</v>
      </c>
      <c r="G57" s="1141">
        <f t="shared" ref="G57:L57" si="2">G9</f>
        <v>37094</v>
      </c>
      <c r="H57" s="1140">
        <f t="shared" si="2"/>
        <v>39273</v>
      </c>
      <c r="I57" s="1142">
        <f t="shared" si="2"/>
        <v>41369.119696969698</v>
      </c>
      <c r="J57" s="1142">
        <f t="shared" si="2"/>
        <v>42798.193939393939</v>
      </c>
      <c r="K57" s="1142">
        <f t="shared" si="2"/>
        <v>43163.222727272732</v>
      </c>
      <c r="L57" s="1143">
        <f t="shared" si="2"/>
        <v>42917.725757575754</v>
      </c>
      <c r="M57" s="403"/>
      <c r="N57" s="78"/>
      <c r="O57" s="80"/>
      <c r="P57" s="80"/>
      <c r="Q57" s="80"/>
      <c r="R57" s="80"/>
      <c r="S57" s="80"/>
      <c r="T57" s="80"/>
      <c r="U57" s="80"/>
    </row>
    <row r="58" spans="1:21" ht="12">
      <c r="B58" s="387"/>
      <c r="C58" s="430"/>
      <c r="D58" s="103"/>
      <c r="E58" s="103"/>
      <c r="F58" s="1157"/>
      <c r="G58" s="450"/>
      <c r="H58" s="1082"/>
      <c r="I58" s="451"/>
      <c r="J58" s="451"/>
      <c r="K58" s="451"/>
      <c r="L58" s="452"/>
      <c r="M58" s="403"/>
      <c r="N58" s="694"/>
      <c r="O58" s="80"/>
      <c r="P58" s="80"/>
      <c r="Q58" s="80"/>
      <c r="R58" s="80"/>
      <c r="S58" s="80"/>
      <c r="T58" s="80"/>
      <c r="U58" s="80"/>
    </row>
    <row r="59" spans="1:21" ht="12.75">
      <c r="B59" s="453">
        <v>20</v>
      </c>
      <c r="C59" s="454" t="s">
        <v>24</v>
      </c>
      <c r="D59" s="455"/>
      <c r="E59" s="455"/>
      <c r="F59" s="1158">
        <f>'F1a Ausgangsbilanz'!F87</f>
        <v>12360</v>
      </c>
      <c r="G59" s="1149">
        <f>F59-'F5a Zinsänderungen'!G9-SUM('F5a Zinsänderungen'!G43:G47)+SUM('F5a Zinsänderungen'!G50:G54)+'F5 Prognose ER'!H23-'F5 Prognose ER'!H51</f>
        <v>14100</v>
      </c>
      <c r="H59" s="1148">
        <f>G59-'F5a Zinsänderungen'!H9-SUM('F5a Zinsänderungen'!H43:H47)+SUM('F5a Zinsänderungen'!H50:H54)+'F5 Prognose ER'!I23-'F5 Prognose ER'!I51</f>
        <v>16373.637500000001</v>
      </c>
      <c r="I59" s="1150">
        <f>H59-'F5a Zinsänderungen'!I9-SUM('F5a Zinsänderungen'!I43:I47)+SUM('F5a Zinsänderungen'!I50:I54)+'F5 Prognose ER'!J23-'F5 Prognose ER'!J51</f>
        <v>18575.010244249999</v>
      </c>
      <c r="J59" s="1150">
        <f>I59-'F5a Zinsänderungen'!J9-SUM('F5a Zinsänderungen'!J43:J47)+SUM('F5a Zinsänderungen'!J50:J54)+'F5 Prognose ER'!K23-'F5 Prognose ER'!K51</f>
        <v>20103.126495246346</v>
      </c>
      <c r="K59" s="1150">
        <f>J59-'F5a Zinsänderungen'!K9-SUM('F5a Zinsänderungen'!K43:K47)+SUM('F5a Zinsänderungen'!K50:K54)+'F5 Prognose ER'!L23-'F5 Prognose ER'!L51</f>
        <v>20548.946292162949</v>
      </c>
      <c r="L59" s="1151">
        <f>K59-'F5a Zinsänderungen'!L9-SUM('F5a Zinsänderungen'!L43:L47)+SUM('F5a Zinsänderungen'!L50:L54)+'F5 Prognose ER'!M23-'F5 Prognose ER'!M51</f>
        <v>20156.675531820554</v>
      </c>
      <c r="M59" s="403"/>
      <c r="N59" s="694"/>
      <c r="O59" s="342"/>
      <c r="P59" s="80"/>
      <c r="Q59" s="80"/>
      <c r="R59" s="80"/>
      <c r="S59" s="80"/>
      <c r="T59" s="80"/>
      <c r="U59" s="80"/>
    </row>
    <row r="60" spans="1:21" ht="12.75">
      <c r="B60" s="453"/>
      <c r="C60" s="456"/>
      <c r="D60" s="456"/>
      <c r="E60" s="455"/>
      <c r="F60" s="1162"/>
      <c r="G60" s="457"/>
      <c r="H60" s="456"/>
      <c r="I60" s="458"/>
      <c r="J60" s="458"/>
      <c r="K60" s="458"/>
      <c r="L60" s="459"/>
      <c r="N60" s="694"/>
      <c r="O60" s="80"/>
      <c r="P60" s="80"/>
      <c r="Q60" s="80"/>
      <c r="R60" s="80"/>
      <c r="S60" s="80"/>
      <c r="T60" s="80"/>
      <c r="U60" s="80"/>
    </row>
    <row r="61" spans="1:21" ht="12.75">
      <c r="B61" s="453">
        <v>29</v>
      </c>
      <c r="C61" s="454" t="s">
        <v>111</v>
      </c>
      <c r="D61" s="455"/>
      <c r="E61" s="455"/>
      <c r="F61" s="1158">
        <f>SUM(F62:F66)</f>
        <v>23323</v>
      </c>
      <c r="G61" s="1149">
        <f>SUM(G62:G66)</f>
        <v>23005</v>
      </c>
      <c r="H61" s="1148">
        <f t="shared" ref="H61:L61" si="3">SUM(H62:H66)</f>
        <v>22910.362499999999</v>
      </c>
      <c r="I61" s="1150">
        <f t="shared" si="3"/>
        <v>22805.109452719698</v>
      </c>
      <c r="J61" s="1150">
        <f t="shared" si="3"/>
        <v>22706.067444147593</v>
      </c>
      <c r="K61" s="1150">
        <f t="shared" si="3"/>
        <v>22625.276435109779</v>
      </c>
      <c r="L61" s="1151">
        <f t="shared" si="3"/>
        <v>22772.050225755203</v>
      </c>
      <c r="N61" s="694"/>
      <c r="O61" s="80"/>
      <c r="P61" s="80"/>
      <c r="Q61" s="80"/>
      <c r="R61" s="80"/>
      <c r="S61" s="80"/>
      <c r="T61" s="80"/>
      <c r="U61" s="80"/>
    </row>
    <row r="62" spans="1:21" ht="12.75">
      <c r="A62" s="361"/>
      <c r="B62" s="387"/>
      <c r="C62" s="430">
        <v>290</v>
      </c>
      <c r="D62" s="430" t="s">
        <v>103</v>
      </c>
      <c r="E62" s="455"/>
      <c r="F62" s="1163">
        <f>'F1a Ausgangsbilanz'!F90</f>
        <v>10342</v>
      </c>
      <c r="G62" s="1145">
        <f>F62+'F5 Prognose ER'!H24-'F5 Prognose ER'!H52</f>
        <v>10011</v>
      </c>
      <c r="H62" s="1144">
        <f>G62+'F5 Prognose ER'!I24-'F5 Prognose ER'!I52</f>
        <v>9691</v>
      </c>
      <c r="I62" s="1146">
        <f>H62+'F5 Prognose ER'!J24-'F5 Prognose ER'!J52</f>
        <v>9391</v>
      </c>
      <c r="J62" s="1146">
        <f>I62+'F5 Prognose ER'!K24-'F5 Prognose ER'!K52</f>
        <v>9111</v>
      </c>
      <c r="K62" s="1146">
        <f>J62+'F5 Prognose ER'!L24-'F5 Prognose ER'!L52</f>
        <v>8851</v>
      </c>
      <c r="L62" s="1147">
        <f>K62+'F5 Prognose ER'!M24-'F5 Prognose ER'!M52</f>
        <v>8611</v>
      </c>
      <c r="M62" s="361"/>
      <c r="N62" s="78"/>
      <c r="O62" s="80"/>
      <c r="P62" s="80"/>
      <c r="Q62" s="80"/>
      <c r="R62" s="80"/>
      <c r="S62" s="80"/>
      <c r="T62" s="80"/>
      <c r="U62" s="80"/>
    </row>
    <row r="63" spans="1:21" ht="12.75">
      <c r="A63" s="361"/>
      <c r="B63" s="387"/>
      <c r="C63" s="430">
        <v>291</v>
      </c>
      <c r="D63" s="430" t="s">
        <v>104</v>
      </c>
      <c r="E63" s="455"/>
      <c r="F63" s="1163">
        <f>'F1a Ausgangsbilanz'!F91</f>
        <v>0</v>
      </c>
      <c r="G63" s="1145">
        <f>F63++'F5 Prognose ER'!H25+'F5 Prognose ER'!H26-'F5 Prognose ER'!H53-'F5 Prognose ER'!H54</f>
        <v>0</v>
      </c>
      <c r="H63" s="1144">
        <f>G63+'F5 Prognose ER'!I25+'F5 Prognose ER'!I26-'F5 Prognose ER'!I53-'F5 Prognose ER'!I54</f>
        <v>0</v>
      </c>
      <c r="I63" s="1146">
        <f>H63+'F5 Prognose ER'!J25+'F5 Prognose ER'!J26-'F5 Prognose ER'!J53-'F5 Prognose ER'!J54</f>
        <v>0</v>
      </c>
      <c r="J63" s="1146">
        <f>I63+'F5 Prognose ER'!K25+'F5 Prognose ER'!K26-'F5 Prognose ER'!K53-'F5 Prognose ER'!K54</f>
        <v>0</v>
      </c>
      <c r="K63" s="1146">
        <f>J63+'F5 Prognose ER'!L25+'F5 Prognose ER'!L26-'F5 Prognose ER'!L53-'F5 Prognose ER'!L54</f>
        <v>0</v>
      </c>
      <c r="L63" s="1147">
        <f>K63+'F5 Prognose ER'!M25+'F5 Prognose ER'!M26-'F5 Prognose ER'!M53-'F5 Prognose ER'!M54</f>
        <v>0</v>
      </c>
      <c r="M63" s="361"/>
      <c r="N63" s="78"/>
      <c r="O63" s="80"/>
      <c r="P63" s="80"/>
      <c r="Q63" s="80"/>
      <c r="R63" s="80"/>
      <c r="S63" s="80"/>
      <c r="T63" s="80"/>
      <c r="U63" s="80"/>
    </row>
    <row r="64" spans="1:21" ht="12.75">
      <c r="A64" s="361"/>
      <c r="B64" s="387"/>
      <c r="C64" s="430">
        <v>295</v>
      </c>
      <c r="D64" s="430" t="s">
        <v>112</v>
      </c>
      <c r="E64" s="455"/>
      <c r="F64" s="1163">
        <f>'F1a Ausgangsbilanz'!F92</f>
        <v>0</v>
      </c>
      <c r="G64" s="1145">
        <f>F64-'F5 Prognose ER'!H59</f>
        <v>0</v>
      </c>
      <c r="H64" s="1144">
        <f>G64-'F5 Prognose ER'!I59</f>
        <v>0</v>
      </c>
      <c r="I64" s="1146">
        <f>H64-'F5 Prognose ER'!J59</f>
        <v>0</v>
      </c>
      <c r="J64" s="1146">
        <f>I64-'F5 Prognose ER'!K59</f>
        <v>0</v>
      </c>
      <c r="K64" s="1146">
        <f>J64-'F5 Prognose ER'!L59</f>
        <v>0</v>
      </c>
      <c r="L64" s="1147">
        <f>K64-'F5 Prognose ER'!M59</f>
        <v>0</v>
      </c>
      <c r="M64" s="361"/>
      <c r="N64" s="78"/>
      <c r="O64" s="80"/>
      <c r="P64" s="80"/>
      <c r="Q64" s="80"/>
      <c r="R64" s="80"/>
      <c r="S64" s="80"/>
      <c r="T64" s="80"/>
      <c r="U64" s="80"/>
    </row>
    <row r="65" spans="1:21" ht="12.75">
      <c r="A65" s="361"/>
      <c r="B65" s="387"/>
      <c r="C65" s="430">
        <v>298</v>
      </c>
      <c r="D65" s="430" t="s">
        <v>105</v>
      </c>
      <c r="E65" s="455"/>
      <c r="F65" s="1163">
        <f>'F1a Ausgangsbilanz'!F93</f>
        <v>0</v>
      </c>
      <c r="G65" s="1145">
        <f>F65</f>
        <v>0</v>
      </c>
      <c r="H65" s="1144">
        <f>G65</f>
        <v>0</v>
      </c>
      <c r="I65" s="1146">
        <f t="shared" ref="I65:L65" si="4">H65</f>
        <v>0</v>
      </c>
      <c r="J65" s="1146">
        <f t="shared" si="4"/>
        <v>0</v>
      </c>
      <c r="K65" s="1146">
        <f t="shared" si="4"/>
        <v>0</v>
      </c>
      <c r="L65" s="1147">
        <f t="shared" si="4"/>
        <v>0</v>
      </c>
      <c r="M65" s="361"/>
      <c r="N65" s="78"/>
      <c r="O65" s="80"/>
      <c r="P65" s="80"/>
      <c r="R65" s="80"/>
      <c r="S65" s="80"/>
      <c r="T65" s="80"/>
      <c r="U65" s="80"/>
    </row>
    <row r="66" spans="1:21" ht="12.75">
      <c r="A66" s="361"/>
      <c r="B66" s="466"/>
      <c r="C66" s="468">
        <v>299</v>
      </c>
      <c r="D66" s="468" t="s">
        <v>113</v>
      </c>
      <c r="E66" s="473"/>
      <c r="F66" s="1164">
        <f>'F1a Ausgangsbilanz'!F94</f>
        <v>12981</v>
      </c>
      <c r="G66" s="1155">
        <f>F66+'F5 Prognose ER'!H71</f>
        <v>12994</v>
      </c>
      <c r="H66" s="1077">
        <f>G66+'F5 Prognose ER'!I71</f>
        <v>13219.362499999999</v>
      </c>
      <c r="I66" s="1078">
        <f>H66+'F5 Prognose ER'!J71</f>
        <v>13414.109452719698</v>
      </c>
      <c r="J66" s="1078">
        <f>I66+'F5 Prognose ER'!K71</f>
        <v>13595.067444147593</v>
      </c>
      <c r="K66" s="1078">
        <f>J66+'F5 Prognose ER'!L71</f>
        <v>13774.276435109779</v>
      </c>
      <c r="L66" s="1079">
        <f>K66+'F5 Prognose ER'!M71</f>
        <v>14161.050225755203</v>
      </c>
      <c r="M66" s="361"/>
      <c r="N66" s="78"/>
      <c r="O66" s="80"/>
      <c r="P66" s="80"/>
      <c r="Q66" s="80"/>
      <c r="R66" s="80"/>
      <c r="S66" s="80"/>
      <c r="T66" s="80"/>
      <c r="U66" s="80"/>
    </row>
    <row r="67" spans="1:21">
      <c r="A67" s="361"/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1"/>
      <c r="M67" s="361"/>
      <c r="N67" s="361"/>
    </row>
    <row r="68" spans="1:21">
      <c r="G68" s="474"/>
    </row>
    <row r="69" spans="1:21" ht="12">
      <c r="F69" s="342"/>
      <c r="G69" s="342"/>
      <c r="H69" s="342"/>
      <c r="I69" s="342"/>
      <c r="J69" s="342"/>
      <c r="K69" s="342"/>
      <c r="L69" s="342"/>
    </row>
    <row r="70" spans="1:21" ht="12">
      <c r="F70" s="342"/>
      <c r="G70" s="342"/>
      <c r="H70" s="342"/>
      <c r="I70" s="342"/>
      <c r="J70" s="342"/>
      <c r="K70" s="342"/>
      <c r="L70" s="342"/>
    </row>
    <row r="71" spans="1:21" ht="12">
      <c r="F71" s="342"/>
      <c r="G71" s="342"/>
      <c r="H71" s="342"/>
      <c r="I71" s="342"/>
      <c r="J71" s="342"/>
      <c r="K71" s="342"/>
      <c r="L71" s="342"/>
    </row>
    <row r="72" spans="1:21" ht="12">
      <c r="F72" s="342"/>
      <c r="G72" s="342"/>
      <c r="H72" s="342"/>
      <c r="I72" s="342"/>
      <c r="J72" s="342"/>
      <c r="K72" s="342"/>
      <c r="L72" s="342"/>
    </row>
    <row r="73" spans="1:21" ht="12">
      <c r="F73" s="342"/>
      <c r="G73" s="342"/>
      <c r="H73" s="342"/>
      <c r="I73" s="342"/>
      <c r="J73" s="342"/>
      <c r="K73" s="342"/>
      <c r="L73" s="342"/>
    </row>
    <row r="74" spans="1:21" ht="12">
      <c r="F74" s="342"/>
      <c r="G74" s="342"/>
      <c r="H74" s="342"/>
      <c r="I74" s="342"/>
      <c r="J74" s="342"/>
      <c r="K74" s="342"/>
      <c r="L74" s="342"/>
    </row>
    <row r="75" spans="1:21" ht="12">
      <c r="F75" s="342"/>
      <c r="G75" s="342"/>
      <c r="H75" s="342"/>
      <c r="I75" s="342"/>
      <c r="J75" s="342"/>
      <c r="K75" s="342"/>
      <c r="L75" s="342"/>
    </row>
    <row r="76" spans="1:21" ht="12">
      <c r="F76" s="342"/>
      <c r="G76" s="342"/>
      <c r="H76" s="342"/>
      <c r="I76" s="342"/>
      <c r="J76" s="342"/>
      <c r="K76" s="342"/>
      <c r="L76" s="342"/>
    </row>
    <row r="77" spans="1:21" ht="12">
      <c r="F77" s="342"/>
      <c r="G77" s="342"/>
      <c r="H77" s="342"/>
      <c r="I77" s="342"/>
      <c r="J77" s="342"/>
      <c r="K77" s="342"/>
      <c r="L77" s="342"/>
    </row>
    <row r="78" spans="1:21" ht="12">
      <c r="F78" s="342"/>
      <c r="G78" s="342"/>
      <c r="H78" s="342"/>
      <c r="I78" s="342"/>
      <c r="J78" s="342"/>
      <c r="K78" s="342"/>
      <c r="L78" s="342"/>
    </row>
    <row r="79" spans="1:21" ht="12">
      <c r="F79" s="342"/>
      <c r="G79" s="342"/>
      <c r="H79" s="342"/>
      <c r="I79" s="342"/>
      <c r="J79" s="342"/>
      <c r="K79" s="342"/>
      <c r="L79" s="342"/>
    </row>
    <row r="80" spans="1:21" ht="12">
      <c r="F80" s="342"/>
      <c r="G80" s="342"/>
      <c r="H80" s="342"/>
      <c r="I80" s="342"/>
      <c r="J80" s="342"/>
      <c r="K80" s="342"/>
      <c r="L80" s="342"/>
    </row>
    <row r="81" spans="6:12" ht="12">
      <c r="F81" s="342"/>
      <c r="G81" s="342"/>
      <c r="H81" s="342"/>
      <c r="I81" s="342"/>
      <c r="J81" s="342"/>
      <c r="K81" s="342"/>
      <c r="L81" s="342"/>
    </row>
    <row r="82" spans="6:12" ht="12">
      <c r="F82" s="342"/>
      <c r="G82" s="342"/>
      <c r="H82" s="342"/>
      <c r="I82" s="342"/>
      <c r="J82" s="342"/>
      <c r="K82" s="342"/>
      <c r="L82" s="342"/>
    </row>
    <row r="83" spans="6:12">
      <c r="G83" s="474"/>
      <c r="H83" s="101" t="s">
        <v>57</v>
      </c>
    </row>
  </sheetData>
  <sheetProtection sheet="1" objects="1" scenarios="1"/>
  <phoneticPr fontId="2" type="noConversion"/>
  <pageMargins left="0.74803149606299202" right="0.55118110236220497" top="0.98425196850393704" bottom="0.98425196850393704" header="0.511811023622047" footer="0.511811023622047"/>
  <pageSetup paperSize="9" orientation="landscape" r:id="rId1"/>
  <headerFooter>
    <oddFooter>&amp;L&amp;8&amp;K000000© Legrafin                 &amp;D / &amp;T&amp;C&amp;8&amp;K000000Seite  &amp;P&amp;R&amp;8&amp;K000000&amp;F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J97"/>
  <sheetViews>
    <sheetView zoomScale="150" zoomScaleNormal="150" zoomScalePageLayoutView="150" workbookViewId="0">
      <pane xSplit="6" ySplit="12" topLeftCell="G25" activePane="bottomRight" state="frozenSplit"/>
      <selection pane="topRight" activeCell="G1" sqref="G1"/>
      <selection pane="bottomLeft" activeCell="A13" sqref="A13"/>
      <selection pane="bottomRight" activeCell="A27" sqref="A27"/>
    </sheetView>
  </sheetViews>
  <sheetFormatPr baseColWidth="10" defaultColWidth="11.42578125" defaultRowHeight="11.25"/>
  <cols>
    <col min="1" max="1" width="0.85546875" style="86" customWidth="1"/>
    <col min="2" max="2" width="2.7109375" style="86" customWidth="1"/>
    <col min="3" max="3" width="3.85546875" style="86" customWidth="1"/>
    <col min="4" max="4" width="1.7109375" style="86" customWidth="1"/>
    <col min="5" max="5" width="16.85546875" style="86" customWidth="1"/>
    <col min="6" max="6" width="14" style="86" customWidth="1"/>
    <col min="7" max="8" width="6.140625" style="396" customWidth="1"/>
    <col min="9" max="14" width="6.140625" style="86" customWidth="1"/>
    <col min="15" max="21" width="7.28515625" style="86" customWidth="1"/>
    <col min="22" max="22" width="2.42578125" style="86" customWidth="1"/>
    <col min="23" max="29" width="7.28515625" style="86" customWidth="1"/>
    <col min="30" max="30" width="2.42578125" style="86" customWidth="1"/>
    <col min="31" max="37" width="6.140625" style="86" customWidth="1"/>
    <col min="38" max="38" width="2.42578125" style="86" customWidth="1"/>
    <col min="39" max="45" width="7.28515625" style="86" customWidth="1"/>
    <col min="46" max="46" width="2.42578125" style="86" customWidth="1"/>
    <col min="47" max="53" width="7.28515625" style="86" customWidth="1"/>
    <col min="54" max="54" width="2.42578125" style="86" customWidth="1"/>
    <col min="55" max="61" width="7.28515625" style="86" customWidth="1"/>
    <col min="62" max="62" width="2.42578125" style="86" customWidth="1"/>
    <col min="63" max="16384" width="11.42578125" style="86"/>
  </cols>
  <sheetData>
    <row r="1" spans="1:62" s="80" customFormat="1" ht="12">
      <c r="B1" s="1438" t="str">
        <f>"Aufgaben- und Finanzplan "&amp;TEXT(Budget2,0)&amp;" - "&amp;TEXT(Finz1+4,0)</f>
        <v>Aufgaben- und Finanzplan 2022 - 2027</v>
      </c>
      <c r="C1" s="1438"/>
      <c r="D1" s="1438"/>
      <c r="E1" s="1438"/>
      <c r="F1" s="1438"/>
      <c r="G1" s="1438"/>
      <c r="H1" s="1438"/>
      <c r="M1" s="245" t="str">
        <f>"Gemeinde "&amp;TEXT(Gemeinde,0)</f>
        <v>Gemeinde Menznau</v>
      </c>
    </row>
    <row r="2" spans="1:62" ht="6" customHeight="1">
      <c r="G2" s="86"/>
      <c r="H2" s="86"/>
    </row>
    <row r="3" spans="1:62" s="82" customFormat="1" ht="12.75">
      <c r="A3" s="185"/>
      <c r="B3" s="1421" t="s">
        <v>286</v>
      </c>
      <c r="C3" s="1421"/>
      <c r="D3" s="1422"/>
      <c r="E3" s="1422"/>
      <c r="F3" s="1422"/>
      <c r="G3" s="1422"/>
      <c r="H3" s="1422"/>
      <c r="I3" s="399"/>
      <c r="J3" s="399"/>
      <c r="K3" s="399"/>
      <c r="L3" s="399"/>
      <c r="N3" s="399"/>
      <c r="O3" s="399"/>
      <c r="P3" s="399"/>
      <c r="Q3" s="399"/>
      <c r="R3" s="399"/>
      <c r="S3" s="399"/>
      <c r="T3" s="399"/>
      <c r="U3" s="399"/>
      <c r="V3" s="399"/>
      <c r="W3" s="399"/>
      <c r="X3" s="399"/>
      <c r="Y3" s="399"/>
      <c r="Z3" s="399"/>
      <c r="AA3" s="399"/>
      <c r="AB3" s="399"/>
      <c r="AC3" s="399"/>
      <c r="AD3" s="399"/>
      <c r="AE3" s="399"/>
      <c r="AF3" s="399"/>
      <c r="AG3" s="399"/>
      <c r="AH3" s="399"/>
      <c r="AI3" s="399"/>
      <c r="AJ3" s="399"/>
      <c r="AK3" s="399"/>
      <c r="AL3" s="399"/>
      <c r="AM3" s="399"/>
      <c r="AN3" s="399"/>
      <c r="AO3" s="399"/>
      <c r="AP3" s="399"/>
      <c r="AQ3" s="399"/>
      <c r="AR3" s="399"/>
      <c r="AS3" s="399"/>
      <c r="AT3" s="399"/>
      <c r="AU3" s="399"/>
      <c r="AV3" s="399"/>
      <c r="AW3" s="399"/>
      <c r="AX3" s="399"/>
      <c r="AY3" s="399"/>
      <c r="AZ3" s="399"/>
      <c r="BA3" s="399"/>
      <c r="BB3" s="399"/>
      <c r="BC3" s="399"/>
      <c r="BD3" s="399"/>
      <c r="BE3" s="399"/>
      <c r="BF3" s="399"/>
      <c r="BG3" s="399"/>
      <c r="BH3" s="399"/>
      <c r="BI3" s="399"/>
      <c r="BJ3" s="399"/>
    </row>
    <row r="4" spans="1:62" ht="6" customHeight="1">
      <c r="N4" s="340"/>
    </row>
    <row r="5" spans="1:62" ht="12.75">
      <c r="B5" s="1423" t="s">
        <v>152</v>
      </c>
      <c r="C5" s="1424"/>
      <c r="D5" s="1424"/>
      <c r="E5" s="1424"/>
      <c r="F5" s="1424"/>
      <c r="G5" s="86"/>
      <c r="H5" s="86"/>
      <c r="N5" s="82"/>
    </row>
    <row r="6" spans="1:62" ht="6" customHeight="1">
      <c r="B6" s="374"/>
      <c r="C6" s="688"/>
      <c r="D6" s="688"/>
      <c r="E6" s="375"/>
      <c r="F6" s="375"/>
      <c r="G6" s="376"/>
      <c r="H6" s="376"/>
      <c r="I6" s="150"/>
      <c r="J6" s="150"/>
      <c r="K6" s="150"/>
      <c r="L6" s="150"/>
      <c r="M6" s="353"/>
      <c r="N6" s="82"/>
      <c r="O6" s="400"/>
      <c r="P6" s="401"/>
      <c r="Q6" s="401"/>
      <c r="R6" s="401"/>
      <c r="S6" s="401"/>
      <c r="T6" s="401"/>
      <c r="U6" s="378"/>
      <c r="W6" s="400"/>
      <c r="X6" s="401"/>
      <c r="Y6" s="401"/>
      <c r="Z6" s="401"/>
      <c r="AA6" s="401"/>
      <c r="AB6" s="401"/>
      <c r="AC6" s="378"/>
      <c r="AE6" s="400"/>
      <c r="AF6" s="401"/>
      <c r="AG6" s="401"/>
      <c r="AH6" s="401"/>
      <c r="AI6" s="401"/>
      <c r="AJ6" s="401"/>
      <c r="AK6" s="378"/>
      <c r="AM6" s="400"/>
      <c r="AN6" s="401"/>
      <c r="AO6" s="401"/>
      <c r="AP6" s="401"/>
      <c r="AQ6" s="401"/>
      <c r="AR6" s="401"/>
      <c r="AS6" s="378"/>
      <c r="AU6" s="400"/>
      <c r="AV6" s="401"/>
      <c r="AW6" s="401"/>
      <c r="AX6" s="401"/>
      <c r="AY6" s="401"/>
      <c r="AZ6" s="401"/>
      <c r="BA6" s="378"/>
      <c r="BC6" s="400"/>
      <c r="BD6" s="401"/>
      <c r="BE6" s="401"/>
      <c r="BF6" s="401"/>
      <c r="BG6" s="401"/>
      <c r="BH6" s="401"/>
      <c r="BI6" s="378"/>
    </row>
    <row r="7" spans="1:62" ht="11.1" customHeight="1">
      <c r="B7" s="374"/>
      <c r="C7" s="688"/>
      <c r="D7" s="688"/>
      <c r="E7" s="375"/>
      <c r="F7" s="375"/>
      <c r="G7" s="379" t="s">
        <v>106</v>
      </c>
      <c r="H7" s="379"/>
      <c r="I7" s="1095" t="str">
        <f>IF(AND(G22+H22&gt;0,SUM(I22:M22)=0),"Einlagen Kto Nr. 35 (gelbe Felder) überprüfen","")</f>
        <v>Einlagen Kto Nr. 35 (gelbe Felder) überprüfen</v>
      </c>
      <c r="J7" s="1095"/>
      <c r="K7" s="1094"/>
      <c r="L7" s="1094"/>
      <c r="M7" s="358"/>
      <c r="N7" s="82"/>
      <c r="O7" s="402" t="str">
        <f>'F0a Konfiguration'!C11</f>
        <v>AB1</v>
      </c>
      <c r="P7" s="403"/>
      <c r="Q7" s="403"/>
      <c r="R7" s="403"/>
      <c r="S7" s="403"/>
      <c r="T7" s="403"/>
      <c r="U7" s="404"/>
      <c r="W7" s="402" t="str">
        <f>'F0a Konfiguration'!C12</f>
        <v>AB2</v>
      </c>
      <c r="X7" s="403"/>
      <c r="Y7" s="403"/>
      <c r="Z7" s="403"/>
      <c r="AA7" s="403"/>
      <c r="AB7" s="403"/>
      <c r="AC7" s="404"/>
      <c r="AE7" s="402" t="str">
        <f>'F0a Konfiguration'!C13</f>
        <v>AB3</v>
      </c>
      <c r="AF7" s="403"/>
      <c r="AG7" s="403"/>
      <c r="AH7" s="403"/>
      <c r="AI7" s="403"/>
      <c r="AJ7" s="403"/>
      <c r="AK7" s="404"/>
      <c r="AM7" s="402" t="str">
        <f>'F0a Konfiguration'!C14</f>
        <v>AB4</v>
      </c>
      <c r="AN7" s="403"/>
      <c r="AO7" s="403"/>
      <c r="AP7" s="403"/>
      <c r="AQ7" s="403"/>
      <c r="AR7" s="403"/>
      <c r="AS7" s="404"/>
      <c r="AU7" s="402" t="str">
        <f>'F0a Konfiguration'!C15</f>
        <v>AB5</v>
      </c>
      <c r="AV7" s="403"/>
      <c r="AW7" s="403"/>
      <c r="AX7" s="403"/>
      <c r="AY7" s="403"/>
      <c r="AZ7" s="403"/>
      <c r="BA7" s="404"/>
      <c r="BC7" s="402" t="str">
        <f>'F0a Konfiguration'!C16</f>
        <v>AB6</v>
      </c>
      <c r="BD7" s="403"/>
      <c r="BE7" s="403"/>
      <c r="BF7" s="403"/>
      <c r="BG7" s="403"/>
      <c r="BH7" s="403"/>
      <c r="BI7" s="404"/>
    </row>
    <row r="8" spans="1:62" ht="11.1" customHeight="1">
      <c r="B8" s="374"/>
      <c r="C8" s="688"/>
      <c r="D8" s="688"/>
      <c r="E8" s="375"/>
      <c r="F8" s="375"/>
      <c r="G8" s="379" t="s">
        <v>20</v>
      </c>
      <c r="H8" s="379"/>
      <c r="I8" s="1095" t="str">
        <f>IF(AND(G50+H50&gt;0,SUM(I50:M50)=0),"Entnahmen Kto Nr. 45 (gelbe Felder) überprüfen","")</f>
        <v/>
      </c>
      <c r="J8" s="1095"/>
      <c r="K8" s="1094"/>
      <c r="L8" s="1094"/>
      <c r="M8" s="683"/>
      <c r="N8" s="82"/>
      <c r="O8" s="402" t="str">
        <f>'F0a Konfiguration'!E11</f>
        <v>Politik und Verwaltung</v>
      </c>
      <c r="P8" s="403"/>
      <c r="Q8" s="403"/>
      <c r="R8" s="403"/>
      <c r="S8" s="403"/>
      <c r="T8" s="403"/>
      <c r="U8" s="404"/>
      <c r="W8" s="402" t="str">
        <f>'F0a Konfiguration'!E12</f>
        <v>Bildung</v>
      </c>
      <c r="X8" s="403"/>
      <c r="Y8" s="403"/>
      <c r="Z8" s="403"/>
      <c r="AA8" s="403"/>
      <c r="AB8" s="403"/>
      <c r="AC8" s="404"/>
      <c r="AE8" s="402" t="str">
        <f>'F0a Konfiguration'!E13</f>
        <v>Freizeit, Jugend und Kultur</v>
      </c>
      <c r="AF8" s="403"/>
      <c r="AG8" s="403"/>
      <c r="AH8" s="403"/>
      <c r="AI8" s="403"/>
      <c r="AJ8" s="403"/>
      <c r="AK8" s="404"/>
      <c r="AM8" s="402" t="str">
        <f>'F0a Konfiguration'!E14</f>
        <v>Soziales, Gesundheit und Alter</v>
      </c>
      <c r="AN8" s="403"/>
      <c r="AO8" s="403"/>
      <c r="AP8" s="403"/>
      <c r="AQ8" s="403"/>
      <c r="AR8" s="403"/>
      <c r="AS8" s="404"/>
      <c r="AU8" s="402" t="str">
        <f>'F0a Konfiguration'!E15</f>
        <v>Infrastruktur, Sicherheit, Raumordnung und Umwelt</v>
      </c>
      <c r="AV8" s="403"/>
      <c r="AW8" s="403"/>
      <c r="AX8" s="403"/>
      <c r="AY8" s="403"/>
      <c r="AZ8" s="403"/>
      <c r="BA8" s="404"/>
      <c r="BC8" s="402" t="str">
        <f>'F0a Konfiguration'!E16</f>
        <v>Finanzen, Steuern und Abgaben</v>
      </c>
      <c r="BD8" s="403"/>
      <c r="BE8" s="403"/>
      <c r="BF8" s="403"/>
      <c r="BG8" s="403"/>
      <c r="BH8" s="403"/>
      <c r="BI8" s="404"/>
    </row>
    <row r="9" spans="1:62" ht="6" customHeight="1">
      <c r="B9" s="374"/>
      <c r="C9" s="688"/>
      <c r="D9" s="688"/>
      <c r="E9" s="375"/>
      <c r="F9" s="375"/>
      <c r="G9" s="379"/>
      <c r="H9" s="379"/>
      <c r="I9" s="405"/>
      <c r="J9" s="405"/>
      <c r="K9" s="405"/>
      <c r="L9" s="405"/>
      <c r="M9" s="382"/>
      <c r="N9" s="82"/>
      <c r="O9" s="406"/>
      <c r="P9" s="405"/>
      <c r="Q9" s="405"/>
      <c r="R9" s="405"/>
      <c r="S9" s="405"/>
      <c r="T9" s="405"/>
      <c r="U9" s="382"/>
      <c r="W9" s="406"/>
      <c r="X9" s="405"/>
      <c r="Y9" s="405"/>
      <c r="Z9" s="405"/>
      <c r="AA9" s="405"/>
      <c r="AB9" s="405"/>
      <c r="AC9" s="382"/>
      <c r="AE9" s="406"/>
      <c r="AF9" s="405"/>
      <c r="AG9" s="405"/>
      <c r="AH9" s="405"/>
      <c r="AI9" s="405"/>
      <c r="AJ9" s="405"/>
      <c r="AK9" s="382"/>
      <c r="AM9" s="406"/>
      <c r="AN9" s="405"/>
      <c r="AO9" s="405"/>
      <c r="AP9" s="405"/>
      <c r="AQ9" s="405"/>
      <c r="AR9" s="405"/>
      <c r="AS9" s="382"/>
      <c r="AU9" s="406"/>
      <c r="AV9" s="405"/>
      <c r="AW9" s="405"/>
      <c r="AX9" s="405"/>
      <c r="AY9" s="405"/>
      <c r="AZ9" s="405"/>
      <c r="BA9" s="382"/>
      <c r="BC9" s="406"/>
      <c r="BD9" s="405"/>
      <c r="BE9" s="405"/>
      <c r="BF9" s="405"/>
      <c r="BG9" s="405"/>
      <c r="BH9" s="405"/>
      <c r="BI9" s="382"/>
    </row>
    <row r="10" spans="1:62" ht="11.1" customHeight="1">
      <c r="B10" s="374"/>
      <c r="C10" s="688"/>
      <c r="D10" s="688"/>
      <c r="E10" s="375"/>
      <c r="F10" s="375"/>
      <c r="G10" s="1273" t="str">
        <f>IF('F0b Planungsparameter'!$G$10="Ja","Budget","Rechng")</f>
        <v>Budget</v>
      </c>
      <c r="H10" s="1274" t="s">
        <v>32</v>
      </c>
      <c r="I10" s="1275" t="s">
        <v>26</v>
      </c>
      <c r="J10" s="1276"/>
      <c r="K10" s="1276"/>
      <c r="L10" s="1276"/>
      <c r="M10" s="1277"/>
      <c r="O10" s="1273" t="str">
        <f>IF('F0b Planungsparameter'!$G$10="Ja","Budget","Rechng")</f>
        <v>Budget</v>
      </c>
      <c r="P10" s="1274" t="s">
        <v>32</v>
      </c>
      <c r="Q10" s="1275" t="s">
        <v>26</v>
      </c>
      <c r="R10" s="1276"/>
      <c r="S10" s="1276"/>
      <c r="T10" s="1276"/>
      <c r="U10" s="1277"/>
      <c r="W10" s="1273" t="str">
        <f>IF('F0b Planungsparameter'!$G$10="Ja","Budget","Rechng")</f>
        <v>Budget</v>
      </c>
      <c r="X10" s="1274" t="s">
        <v>32</v>
      </c>
      <c r="Y10" s="1275" t="s">
        <v>26</v>
      </c>
      <c r="Z10" s="1276"/>
      <c r="AA10" s="1276"/>
      <c r="AB10" s="1276"/>
      <c r="AC10" s="1277"/>
      <c r="AE10" s="1273" t="str">
        <f>IF('F0b Planungsparameter'!$G$10="Ja","Budget","Rechng")</f>
        <v>Budget</v>
      </c>
      <c r="AF10" s="1274" t="s">
        <v>32</v>
      </c>
      <c r="AG10" s="1275" t="s">
        <v>26</v>
      </c>
      <c r="AH10" s="1276"/>
      <c r="AI10" s="1276"/>
      <c r="AJ10" s="1276"/>
      <c r="AK10" s="1277"/>
      <c r="AM10" s="1273" t="str">
        <f>IF('F0b Planungsparameter'!$G$10="Ja","Budget","Rechng")</f>
        <v>Budget</v>
      </c>
      <c r="AN10" s="1274" t="s">
        <v>32</v>
      </c>
      <c r="AO10" s="1275" t="s">
        <v>26</v>
      </c>
      <c r="AP10" s="1276"/>
      <c r="AQ10" s="1276"/>
      <c r="AR10" s="1276"/>
      <c r="AS10" s="1277"/>
      <c r="AU10" s="1273" t="str">
        <f>IF('F0b Planungsparameter'!$G$10="Ja","Budget","Rechng")</f>
        <v>Budget</v>
      </c>
      <c r="AV10" s="1274" t="s">
        <v>32</v>
      </c>
      <c r="AW10" s="1275" t="s">
        <v>26</v>
      </c>
      <c r="AX10" s="1276"/>
      <c r="AY10" s="1276"/>
      <c r="AZ10" s="1276"/>
      <c r="BA10" s="1277"/>
      <c r="BC10" s="1273" t="str">
        <f>IF('F0b Planungsparameter'!$G$10="Ja","Budget","Rechng")</f>
        <v>Budget</v>
      </c>
      <c r="BD10" s="1274" t="s">
        <v>32</v>
      </c>
      <c r="BE10" s="1275" t="s">
        <v>26</v>
      </c>
      <c r="BF10" s="1276"/>
      <c r="BG10" s="1276"/>
      <c r="BH10" s="1276"/>
      <c r="BI10" s="1277"/>
    </row>
    <row r="11" spans="1:62" ht="11.1" customHeight="1">
      <c r="B11" s="374"/>
      <c r="C11" s="688"/>
      <c r="D11" s="688"/>
      <c r="E11" s="375"/>
      <c r="F11" s="375"/>
      <c r="G11" s="410">
        <f>Budget1</f>
        <v>2021</v>
      </c>
      <c r="H11" s="411">
        <f>Budget2</f>
        <v>2022</v>
      </c>
      <c r="I11" s="412">
        <f>Finz1</f>
        <v>2023</v>
      </c>
      <c r="J11" s="413">
        <f>Finz1+1</f>
        <v>2024</v>
      </c>
      <c r="K11" s="413">
        <f>Finz1+2</f>
        <v>2025</v>
      </c>
      <c r="L11" s="413">
        <f>Finz1+3</f>
        <v>2026</v>
      </c>
      <c r="M11" s="414">
        <f>Finz1+4</f>
        <v>2027</v>
      </c>
      <c r="N11" s="379"/>
      <c r="O11" s="410">
        <f>Budget1</f>
        <v>2021</v>
      </c>
      <c r="P11" s="411">
        <f>Budget2</f>
        <v>2022</v>
      </c>
      <c r="Q11" s="412">
        <f>Finz1</f>
        <v>2023</v>
      </c>
      <c r="R11" s="413">
        <f>Finz1+1</f>
        <v>2024</v>
      </c>
      <c r="S11" s="413">
        <f>Finz1+2</f>
        <v>2025</v>
      </c>
      <c r="T11" s="413">
        <f>Finz1+3</f>
        <v>2026</v>
      </c>
      <c r="U11" s="414">
        <f>Finz1+4</f>
        <v>2027</v>
      </c>
      <c r="W11" s="410">
        <f>Budget1</f>
        <v>2021</v>
      </c>
      <c r="X11" s="411">
        <f>Budget2</f>
        <v>2022</v>
      </c>
      <c r="Y11" s="412">
        <f>Finz1</f>
        <v>2023</v>
      </c>
      <c r="Z11" s="413">
        <f>Finz1+1</f>
        <v>2024</v>
      </c>
      <c r="AA11" s="413">
        <f>Finz1+2</f>
        <v>2025</v>
      </c>
      <c r="AB11" s="413">
        <f>Finz1+3</f>
        <v>2026</v>
      </c>
      <c r="AC11" s="414">
        <f>Finz1+4</f>
        <v>2027</v>
      </c>
      <c r="AE11" s="410">
        <f>Budget1</f>
        <v>2021</v>
      </c>
      <c r="AF11" s="411">
        <f>Budget2</f>
        <v>2022</v>
      </c>
      <c r="AG11" s="412">
        <f>Finz1</f>
        <v>2023</v>
      </c>
      <c r="AH11" s="413">
        <f>Finz1+1</f>
        <v>2024</v>
      </c>
      <c r="AI11" s="413">
        <f>Finz1+2</f>
        <v>2025</v>
      </c>
      <c r="AJ11" s="413">
        <f>Finz1+3</f>
        <v>2026</v>
      </c>
      <c r="AK11" s="414">
        <f>Finz1+4</f>
        <v>2027</v>
      </c>
      <c r="AM11" s="410">
        <f>Budget1</f>
        <v>2021</v>
      </c>
      <c r="AN11" s="411">
        <f>Budget2</f>
        <v>2022</v>
      </c>
      <c r="AO11" s="412">
        <f>Finz1</f>
        <v>2023</v>
      </c>
      <c r="AP11" s="413">
        <f>Finz1+1</f>
        <v>2024</v>
      </c>
      <c r="AQ11" s="413">
        <f>Finz1+2</f>
        <v>2025</v>
      </c>
      <c r="AR11" s="413">
        <f>Finz1+3</f>
        <v>2026</v>
      </c>
      <c r="AS11" s="414">
        <f>Finz1+4</f>
        <v>2027</v>
      </c>
      <c r="AU11" s="410">
        <f>Budget1</f>
        <v>2021</v>
      </c>
      <c r="AV11" s="411">
        <f>Budget2</f>
        <v>2022</v>
      </c>
      <c r="AW11" s="412">
        <f>Finz1</f>
        <v>2023</v>
      </c>
      <c r="AX11" s="413">
        <f>Finz1+1</f>
        <v>2024</v>
      </c>
      <c r="AY11" s="413">
        <f>Finz1+2</f>
        <v>2025</v>
      </c>
      <c r="AZ11" s="413">
        <f>Finz1+3</f>
        <v>2026</v>
      </c>
      <c r="BA11" s="414">
        <f>Finz1+4</f>
        <v>2027</v>
      </c>
      <c r="BC11" s="410">
        <f>Budget1</f>
        <v>2021</v>
      </c>
      <c r="BD11" s="411">
        <f>Budget2</f>
        <v>2022</v>
      </c>
      <c r="BE11" s="412">
        <f>Finz1</f>
        <v>2023</v>
      </c>
      <c r="BF11" s="413">
        <f>Finz1+1</f>
        <v>2024</v>
      </c>
      <c r="BG11" s="413">
        <f>Finz1+2</f>
        <v>2025</v>
      </c>
      <c r="BH11" s="413">
        <f>Finz1+3</f>
        <v>2026</v>
      </c>
      <c r="BI11" s="414">
        <f>Finz1+4</f>
        <v>2027</v>
      </c>
    </row>
    <row r="12" spans="1:62" ht="6" customHeight="1">
      <c r="B12" s="374"/>
      <c r="C12" s="688"/>
      <c r="D12" s="688"/>
      <c r="E12" s="375"/>
      <c r="F12" s="375"/>
      <c r="G12" s="375"/>
      <c r="H12" s="375"/>
      <c r="I12" s="375"/>
      <c r="J12" s="375"/>
      <c r="K12" s="375"/>
      <c r="L12" s="375"/>
      <c r="M12" s="375"/>
      <c r="N12" s="379"/>
      <c r="O12" s="375"/>
      <c r="P12" s="375"/>
      <c r="Q12" s="375"/>
      <c r="R12" s="375"/>
      <c r="S12" s="375"/>
      <c r="T12" s="375"/>
      <c r="U12" s="375"/>
      <c r="W12" s="375"/>
      <c r="X12" s="375"/>
      <c r="Y12" s="375"/>
      <c r="Z12" s="375"/>
      <c r="AA12" s="375"/>
      <c r="AB12" s="375"/>
      <c r="AC12" s="375"/>
      <c r="AE12" s="375"/>
      <c r="AF12" s="375"/>
      <c r="AG12" s="375"/>
      <c r="AH12" s="375"/>
      <c r="AI12" s="375"/>
      <c r="AJ12" s="375"/>
      <c r="AK12" s="375"/>
      <c r="AM12" s="375"/>
      <c r="AN12" s="375"/>
      <c r="AO12" s="375"/>
      <c r="AP12" s="375"/>
      <c r="AQ12" s="375"/>
      <c r="AR12" s="375"/>
      <c r="AS12" s="375"/>
      <c r="AU12" s="375"/>
      <c r="AV12" s="375"/>
      <c r="AW12" s="375"/>
      <c r="AX12" s="375"/>
      <c r="AY12" s="375"/>
      <c r="AZ12" s="375"/>
      <c r="BA12" s="375"/>
      <c r="BC12" s="375"/>
      <c r="BD12" s="375"/>
      <c r="BE12" s="375"/>
      <c r="BF12" s="375"/>
      <c r="BG12" s="375"/>
      <c r="BH12" s="375"/>
      <c r="BI12" s="375"/>
    </row>
    <row r="13" spans="1:62" ht="11.1" customHeight="1">
      <c r="B13" s="374">
        <v>3</v>
      </c>
      <c r="C13" s="383"/>
      <c r="D13" s="1406" t="s">
        <v>23</v>
      </c>
      <c r="E13" s="1407"/>
      <c r="F13" s="1408"/>
      <c r="G13" s="384">
        <f>SUM(G15:G18)+G22+G27+SUM(G30:G32)</f>
        <v>23944</v>
      </c>
      <c r="H13" s="701">
        <f>SUM(H15:H18)+H22+H27+SUM(H30:H32)</f>
        <v>24742</v>
      </c>
      <c r="I13" s="386">
        <f>SUM(I15:I18)+I22+I27+SUM(I30:I32)</f>
        <v>24728.589999999997</v>
      </c>
      <c r="J13" s="386">
        <f t="shared" ref="J13:M13" si="0">SUM(J15:J18)+J22+J27+SUM(J30:J32)</f>
        <v>24918.928096780299</v>
      </c>
      <c r="K13" s="386">
        <f t="shared" si="0"/>
        <v>25160.348714607608</v>
      </c>
      <c r="L13" s="386">
        <f t="shared" si="0"/>
        <v>25365.112281527054</v>
      </c>
      <c r="M13" s="384">
        <f t="shared" si="0"/>
        <v>25418.619729793823</v>
      </c>
      <c r="N13" s="379"/>
      <c r="O13" s="384">
        <f>SUM(O15:O18)+O22+O27+SUM(O30:O32)</f>
        <v>1486</v>
      </c>
      <c r="P13" s="701">
        <f t="shared" ref="P13:U13" si="1">SUM(P15:P18)+P22+P27+SUM(P30:P32)</f>
        <v>1528</v>
      </c>
      <c r="Q13" s="386">
        <f t="shared" si="1"/>
        <v>1527.4699999999998</v>
      </c>
      <c r="R13" s="386">
        <f t="shared" si="1"/>
        <v>1506.0166249999997</v>
      </c>
      <c r="S13" s="386">
        <f t="shared" si="1"/>
        <v>1514.8737081249997</v>
      </c>
      <c r="T13" s="386">
        <f t="shared" si="1"/>
        <v>1523.3189080406246</v>
      </c>
      <c r="U13" s="384">
        <f t="shared" si="1"/>
        <v>1540.9185775808276</v>
      </c>
      <c r="V13" s="379"/>
      <c r="W13" s="384">
        <f>SUM(W15:W18)+W22+W27+SUM(W30:W32)</f>
        <v>8220</v>
      </c>
      <c r="X13" s="701">
        <f t="shared" ref="X13:AC13" si="2">SUM(X15:X18)+X22+X27+SUM(X30:X32)</f>
        <v>8759</v>
      </c>
      <c r="Y13" s="386">
        <f t="shared" si="2"/>
        <v>8773.8449999999993</v>
      </c>
      <c r="Z13" s="386">
        <f t="shared" si="2"/>
        <v>8824.8887999999988</v>
      </c>
      <c r="AA13" s="386">
        <f t="shared" si="2"/>
        <v>8893.4934189999985</v>
      </c>
      <c r="AB13" s="386">
        <f t="shared" si="2"/>
        <v>8935.2019044699973</v>
      </c>
      <c r="AC13" s="384">
        <f t="shared" si="2"/>
        <v>8904.7892764923472</v>
      </c>
      <c r="AD13" s="379"/>
      <c r="AE13" s="384">
        <f>SUM(AE15:AE18)+AE22+AE27+SUM(AE30:AE32)</f>
        <v>498</v>
      </c>
      <c r="AF13" s="701">
        <f t="shared" ref="AF13:AK13" si="3">SUM(AF15:AF18)+AF22+AF27+SUM(AF30:AF32)</f>
        <v>583</v>
      </c>
      <c r="AG13" s="386">
        <f t="shared" si="3"/>
        <v>585.06499999999994</v>
      </c>
      <c r="AH13" s="386">
        <f t="shared" si="3"/>
        <v>596.50844999999993</v>
      </c>
      <c r="AI13" s="386">
        <f t="shared" si="3"/>
        <v>609.30524224999988</v>
      </c>
      <c r="AJ13" s="386">
        <f t="shared" si="3"/>
        <v>608.74564408624985</v>
      </c>
      <c r="AK13" s="384">
        <f t="shared" si="3"/>
        <v>610.18434730668105</v>
      </c>
      <c r="AL13" s="379"/>
      <c r="AM13" s="384">
        <f>SUM(AM15:AM18)+AM22+AM27+SUM(AM30:AM32)</f>
        <v>10224</v>
      </c>
      <c r="AN13" s="701">
        <f t="shared" ref="AN13:AS13" si="4">SUM(AN15:AN18)+AN22+AN27+SUM(AN30:AN32)</f>
        <v>10317</v>
      </c>
      <c r="AO13" s="386">
        <f t="shared" si="4"/>
        <v>10239.1975</v>
      </c>
      <c r="AP13" s="386">
        <f t="shared" si="4"/>
        <v>10218.694069696967</v>
      </c>
      <c r="AQ13" s="386">
        <f t="shared" si="4"/>
        <v>10267.652844969693</v>
      </c>
      <c r="AR13" s="386">
        <f t="shared" si="4"/>
        <v>10344.947614281662</v>
      </c>
      <c r="AS13" s="384">
        <f t="shared" si="4"/>
        <v>10422.795240421252</v>
      </c>
      <c r="AT13" s="379"/>
      <c r="AU13" s="384">
        <f>SUM(AU15:AU18)+AU22+AU27+SUM(AU30:AU32)</f>
        <v>3229</v>
      </c>
      <c r="AV13" s="701">
        <f t="shared" ref="AV13:BA13" si="5">SUM(AV15:AV18)+AV22+AV27+SUM(AV30:AV32)</f>
        <v>3286</v>
      </c>
      <c r="AW13" s="386">
        <f t="shared" si="5"/>
        <v>3332.66</v>
      </c>
      <c r="AX13" s="386">
        <f t="shared" si="5"/>
        <v>3496.7232583333325</v>
      </c>
      <c r="AY13" s="386">
        <f t="shared" si="5"/>
        <v>3586.9244912916661</v>
      </c>
      <c r="AZ13" s="386">
        <f t="shared" si="5"/>
        <v>3657.0977159147906</v>
      </c>
      <c r="BA13" s="384">
        <f t="shared" si="5"/>
        <v>3695.9021619943646</v>
      </c>
      <c r="BB13" s="379"/>
      <c r="BC13" s="384">
        <f>SUM(BC15:BC18)+BC22+BC27+SUM(BC30:BC32)</f>
        <v>287</v>
      </c>
      <c r="BD13" s="701">
        <f t="shared" ref="BD13:BI13" si="6">SUM(BD15:BD18)+BD22+BD27+SUM(BD30:BD32)</f>
        <v>269</v>
      </c>
      <c r="BE13" s="386">
        <f t="shared" si="6"/>
        <v>270.35249999999996</v>
      </c>
      <c r="BF13" s="386">
        <f t="shared" si="6"/>
        <v>276.09689374999999</v>
      </c>
      <c r="BG13" s="386">
        <f t="shared" si="6"/>
        <v>288.09900897124993</v>
      </c>
      <c r="BH13" s="386">
        <f t="shared" si="6"/>
        <v>295.80049473373168</v>
      </c>
      <c r="BI13" s="384">
        <f t="shared" si="6"/>
        <v>244.03012599835216</v>
      </c>
      <c r="BJ13" s="379"/>
    </row>
    <row r="14" spans="1:62" ht="6" customHeight="1">
      <c r="B14" s="387"/>
      <c r="C14" s="388"/>
      <c r="D14" s="388"/>
      <c r="E14" s="85"/>
      <c r="F14" s="85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W14" s="379"/>
      <c r="X14" s="379"/>
      <c r="Y14" s="379"/>
      <c r="Z14" s="379"/>
      <c r="AA14" s="379"/>
      <c r="AB14" s="379"/>
      <c r="AC14" s="379"/>
      <c r="AE14" s="379"/>
      <c r="AF14" s="379"/>
      <c r="AG14" s="379"/>
      <c r="AH14" s="379"/>
      <c r="AI14" s="379"/>
      <c r="AJ14" s="379"/>
      <c r="AK14" s="379"/>
      <c r="AM14" s="379"/>
      <c r="AN14" s="379"/>
      <c r="AO14" s="379"/>
      <c r="AP14" s="379"/>
      <c r="AQ14" s="379"/>
      <c r="AR14" s="379"/>
      <c r="AS14" s="379"/>
      <c r="AU14" s="379"/>
      <c r="AV14" s="379"/>
      <c r="AW14" s="379"/>
      <c r="AX14" s="379"/>
      <c r="AY14" s="379"/>
      <c r="AZ14" s="379"/>
      <c r="BA14" s="379"/>
      <c r="BC14" s="379"/>
      <c r="BD14" s="379"/>
      <c r="BE14" s="379"/>
      <c r="BF14" s="379"/>
      <c r="BG14" s="379"/>
      <c r="BH14" s="379"/>
      <c r="BI14" s="379"/>
    </row>
    <row r="15" spans="1:62" ht="11.1" customHeight="1">
      <c r="B15" s="374">
        <v>30</v>
      </c>
      <c r="C15" s="383"/>
      <c r="D15" s="1412" t="s">
        <v>29</v>
      </c>
      <c r="E15" s="1412"/>
      <c r="F15" s="1413"/>
      <c r="G15" s="416">
        <f>'F2 Weiterführung ER'!G15</f>
        <v>10566</v>
      </c>
      <c r="H15" s="417">
        <f>'F2 Weiterführung ER'!H15</f>
        <v>10815</v>
      </c>
      <c r="I15" s="418">
        <f>'F2 Weiterführung ER'!I15+'F5b DELTA ER'!I15</f>
        <v>10869.074999999999</v>
      </c>
      <c r="J15" s="419">
        <f>'F2 Weiterführung ER'!J15+'F5b DELTA ER'!J15</f>
        <v>10923.420374999998</v>
      </c>
      <c r="K15" s="419">
        <f>'F2 Weiterführung ER'!K15+'F5b DELTA ER'!K15</f>
        <v>10978.037476874997</v>
      </c>
      <c r="L15" s="419">
        <f>'F2 Weiterführung ER'!L15+'F5b DELTA ER'!L15</f>
        <v>11032.92766425937</v>
      </c>
      <c r="M15" s="419">
        <f>'F2 Weiterführung ER'!M15+'F5b DELTA ER'!M15</f>
        <v>11088.092302580666</v>
      </c>
      <c r="N15" s="602" t="str">
        <f>IF(SUM(G15:M15)=SUM(O15:PN15),"",SUM(O15:PN15)-SUM(G15:M15))</f>
        <v/>
      </c>
      <c r="O15" s="416">
        <f>'F2 Weiterführung ER'!O15</f>
        <v>789</v>
      </c>
      <c r="P15" s="417">
        <f>'F2 Weiterführung ER'!P15</f>
        <v>783</v>
      </c>
      <c r="Q15" s="418">
        <f>'F2 Weiterführung ER'!Q15+'F5b DELTA ER'!Q15</f>
        <v>786.91499999999996</v>
      </c>
      <c r="R15" s="419">
        <f>'F2 Weiterführung ER'!R15+'F5b DELTA ER'!R15</f>
        <v>790.84957499999985</v>
      </c>
      <c r="S15" s="419">
        <f>'F2 Weiterführung ER'!S15+'F5b DELTA ER'!S15</f>
        <v>794.80382287499981</v>
      </c>
      <c r="T15" s="419">
        <f>'F2 Weiterführung ER'!T15+'F5b DELTA ER'!T15</f>
        <v>798.77784198937468</v>
      </c>
      <c r="U15" s="419">
        <f>'F2 Weiterführung ER'!U15+'F5b DELTA ER'!U15</f>
        <v>802.77173119932149</v>
      </c>
      <c r="W15" s="416">
        <f>'F2 Weiterführung ER'!W15</f>
        <v>4366</v>
      </c>
      <c r="X15" s="417">
        <f>'F2 Weiterführung ER'!X15</f>
        <v>4590</v>
      </c>
      <c r="Y15" s="418">
        <f>'F2 Weiterführung ER'!Y15+'F5b DELTA ER'!Y15</f>
        <v>4612.95</v>
      </c>
      <c r="Z15" s="419">
        <f>'F2 Weiterführung ER'!Z15+'F5b DELTA ER'!Z15</f>
        <v>4636.0147499999994</v>
      </c>
      <c r="AA15" s="419">
        <f>'F2 Weiterführung ER'!AA15+'F5b DELTA ER'!AA15</f>
        <v>4659.1948237499992</v>
      </c>
      <c r="AB15" s="419">
        <f>'F2 Weiterführung ER'!AB15+'F5b DELTA ER'!AB15</f>
        <v>4682.4907978687488</v>
      </c>
      <c r="AC15" s="419">
        <f>'F2 Weiterführung ER'!AC15+'F5b DELTA ER'!AC15</f>
        <v>4705.9032518580916</v>
      </c>
      <c r="AE15" s="416">
        <f>'F2 Weiterführung ER'!AE15</f>
        <v>94</v>
      </c>
      <c r="AF15" s="417">
        <f>'F2 Weiterführung ER'!AF15</f>
        <v>92</v>
      </c>
      <c r="AG15" s="418">
        <f>'F2 Weiterführung ER'!AG15+'F5b DELTA ER'!AG15</f>
        <v>92.46</v>
      </c>
      <c r="AH15" s="419">
        <f>'F2 Weiterführung ER'!AH15+'F5b DELTA ER'!AH15</f>
        <v>92.922299999999979</v>
      </c>
      <c r="AI15" s="419">
        <f>'F2 Weiterführung ER'!AI15+'F5b DELTA ER'!AI15</f>
        <v>93.386911499999968</v>
      </c>
      <c r="AJ15" s="419">
        <f>'F2 Weiterführung ER'!AJ15+'F5b DELTA ER'!AJ15</f>
        <v>93.853846057499965</v>
      </c>
      <c r="AK15" s="419">
        <f>'F2 Weiterführung ER'!AK15+'F5b DELTA ER'!AK15</f>
        <v>94.323115287787459</v>
      </c>
      <c r="AM15" s="416">
        <f>'F2 Weiterführung ER'!AM15</f>
        <v>4728</v>
      </c>
      <c r="AN15" s="417">
        <f>'F2 Weiterführung ER'!AN15</f>
        <v>4759</v>
      </c>
      <c r="AO15" s="418">
        <f>'F2 Weiterführung ER'!AO15+'F5b DELTA ER'!AO15</f>
        <v>4782.7949999999992</v>
      </c>
      <c r="AP15" s="419">
        <f>'F2 Weiterführung ER'!AP15+'F5b DELTA ER'!AP15</f>
        <v>4806.7089749999986</v>
      </c>
      <c r="AQ15" s="419">
        <f>'F2 Weiterführung ER'!AQ15+'F5b DELTA ER'!AQ15</f>
        <v>4830.7425198749979</v>
      </c>
      <c r="AR15" s="419">
        <f>'F2 Weiterführung ER'!AR15+'F5b DELTA ER'!AR15</f>
        <v>4854.8962324743725</v>
      </c>
      <c r="AS15" s="419">
        <f>'F2 Weiterführung ER'!AS15+'F5b DELTA ER'!AS15</f>
        <v>4879.170713636744</v>
      </c>
      <c r="AU15" s="416">
        <f>'F2 Weiterführung ER'!AU15</f>
        <v>576</v>
      </c>
      <c r="AV15" s="417">
        <f>'F2 Weiterführung ER'!AV15</f>
        <v>579</v>
      </c>
      <c r="AW15" s="418">
        <f>'F2 Weiterführung ER'!AW15+'F5b DELTA ER'!AW15</f>
        <v>581.89499999999998</v>
      </c>
      <c r="AX15" s="419">
        <f>'F2 Weiterführung ER'!AX15+'F5b DELTA ER'!AX15</f>
        <v>584.80447499999991</v>
      </c>
      <c r="AY15" s="419">
        <f>'F2 Weiterführung ER'!AY15+'F5b DELTA ER'!AY15</f>
        <v>587.72849737499985</v>
      </c>
      <c r="AZ15" s="419">
        <f>'F2 Weiterführung ER'!AZ15+'F5b DELTA ER'!AZ15</f>
        <v>590.66713986187483</v>
      </c>
      <c r="BA15" s="419">
        <f>'F2 Weiterführung ER'!BA15+'F5b DELTA ER'!BA15</f>
        <v>593.62047556118409</v>
      </c>
      <c r="BC15" s="416">
        <f>'F2 Weiterführung ER'!BC15</f>
        <v>13</v>
      </c>
      <c r="BD15" s="417">
        <f>'F2 Weiterführung ER'!BD15</f>
        <v>12</v>
      </c>
      <c r="BE15" s="418">
        <f>'F2 Weiterführung ER'!BE15+'F5b DELTA ER'!BE15</f>
        <v>12.059999999999999</v>
      </c>
      <c r="BF15" s="419">
        <f>'F2 Weiterführung ER'!BF15+'F5b DELTA ER'!BF15</f>
        <v>12.120299999999997</v>
      </c>
      <c r="BG15" s="419">
        <f>'F2 Weiterführung ER'!BG15+'F5b DELTA ER'!BG15</f>
        <v>12.180901499999996</v>
      </c>
      <c r="BH15" s="419">
        <f>'F2 Weiterführung ER'!BH15+'F5b DELTA ER'!BH15</f>
        <v>12.241806007499994</v>
      </c>
      <c r="BI15" s="419">
        <f>'F2 Weiterführung ER'!BI15+'F5b DELTA ER'!BI15</f>
        <v>12.303015037537493</v>
      </c>
    </row>
    <row r="16" spans="1:62" ht="11.1" customHeight="1">
      <c r="B16" s="374">
        <v>31</v>
      </c>
      <c r="C16" s="383"/>
      <c r="D16" s="1412" t="s">
        <v>85</v>
      </c>
      <c r="E16" s="1412"/>
      <c r="F16" s="1413"/>
      <c r="G16" s="420">
        <f>'F2 Weiterführung ER'!G16</f>
        <v>3443</v>
      </c>
      <c r="H16" s="421">
        <f>'F2 Weiterführung ER'!H16</f>
        <v>3557</v>
      </c>
      <c r="I16" s="422">
        <f>'F2 Weiterführung ER'!I16+'F5b DELTA ER'!I16</f>
        <v>3554.7849999999994</v>
      </c>
      <c r="J16" s="420">
        <f>'F2 Weiterführung ER'!J16+'F5b DELTA ER'!J16</f>
        <v>3554.7849999999994</v>
      </c>
      <c r="K16" s="420">
        <f>'F2 Weiterführung ER'!K16+'F5b DELTA ER'!K16</f>
        <v>3572.6589249999988</v>
      </c>
      <c r="L16" s="420">
        <f>'F2 Weiterführung ER'!L16+'F5b DELTA ER'!L16</f>
        <v>3572.6589249999988</v>
      </c>
      <c r="M16" s="423">
        <f>'F2 Weiterführung ER'!M16+'F5b DELTA ER'!M16</f>
        <v>3590.6222196249983</v>
      </c>
      <c r="N16" s="602" t="str">
        <f t="shared" ref="N16:N33" si="7">IF(SUM(G16:M16)=SUM(O16:YQ16),"",SUM(O16:YQ16)-SUM(G16:M16))</f>
        <v/>
      </c>
      <c r="O16" s="420">
        <f>'F2 Weiterführung ER'!O16</f>
        <v>244</v>
      </c>
      <c r="P16" s="421">
        <f>'F2 Weiterführung ER'!P16</f>
        <v>251</v>
      </c>
      <c r="Q16" s="422">
        <f>'F2 Weiterführung ER'!Q16+'F5b DELTA ER'!Q16</f>
        <v>252.25499999999997</v>
      </c>
      <c r="R16" s="420">
        <f>'F2 Weiterführung ER'!R16+'F5b DELTA ER'!R16</f>
        <v>252.25499999999997</v>
      </c>
      <c r="S16" s="420">
        <f>'F2 Weiterführung ER'!S16+'F5b DELTA ER'!S16</f>
        <v>253.51627499999995</v>
      </c>
      <c r="T16" s="420">
        <f>'F2 Weiterführung ER'!T16+'F5b DELTA ER'!T16</f>
        <v>253.51627499999995</v>
      </c>
      <c r="U16" s="423">
        <f>'F2 Weiterführung ER'!U16+'F5b DELTA ER'!U16</f>
        <v>254.78385637499991</v>
      </c>
      <c r="W16" s="420">
        <f>'F2 Weiterführung ER'!W16</f>
        <v>688</v>
      </c>
      <c r="X16" s="421">
        <f>'F2 Weiterführung ER'!X16</f>
        <v>847</v>
      </c>
      <c r="Y16" s="422">
        <f>'F2 Weiterführung ER'!Y16+'F5b DELTA ER'!Y16</f>
        <v>831.2349999999999</v>
      </c>
      <c r="Z16" s="420">
        <f>'F2 Weiterführung ER'!Z16+'F5b DELTA ER'!Z16</f>
        <v>831.2349999999999</v>
      </c>
      <c r="AA16" s="420">
        <f>'F2 Weiterführung ER'!AA16+'F5b DELTA ER'!AA16</f>
        <v>835.49117499999977</v>
      </c>
      <c r="AB16" s="420">
        <f>'F2 Weiterführung ER'!AB16+'F5b DELTA ER'!AB16</f>
        <v>835.49117499999977</v>
      </c>
      <c r="AC16" s="423">
        <f>'F2 Weiterführung ER'!AC16+'F5b DELTA ER'!AC16</f>
        <v>839.76863087499964</v>
      </c>
      <c r="AE16" s="420">
        <f>'F2 Weiterführung ER'!AE16</f>
        <v>82</v>
      </c>
      <c r="AF16" s="421">
        <f>'F2 Weiterführung ER'!AF16</f>
        <v>80</v>
      </c>
      <c r="AG16" s="422">
        <f>'F2 Weiterführung ER'!AG16+'F5b DELTA ER'!AG16</f>
        <v>80.399999999999991</v>
      </c>
      <c r="AH16" s="420">
        <f>'F2 Weiterführung ER'!AH16+'F5b DELTA ER'!AH16</f>
        <v>80.399999999999991</v>
      </c>
      <c r="AI16" s="420">
        <f>'F2 Weiterführung ER'!AI16+'F5b DELTA ER'!AI16</f>
        <v>80.801999999999978</v>
      </c>
      <c r="AJ16" s="420">
        <f>'F2 Weiterführung ER'!AJ16+'F5b DELTA ER'!AJ16</f>
        <v>80.801999999999978</v>
      </c>
      <c r="AK16" s="423">
        <f>'F2 Weiterführung ER'!AK16+'F5b DELTA ER'!AK16</f>
        <v>81.206009999999964</v>
      </c>
      <c r="AM16" s="420">
        <f>'F2 Weiterführung ER'!AM16</f>
        <v>937</v>
      </c>
      <c r="AN16" s="421">
        <f>'F2 Weiterführung ER'!AN16</f>
        <v>930</v>
      </c>
      <c r="AO16" s="422">
        <f>'F2 Weiterführung ER'!AO16+'F5b DELTA ER'!AO16</f>
        <v>934.64999999999986</v>
      </c>
      <c r="AP16" s="420">
        <f>'F2 Weiterführung ER'!AP16+'F5b DELTA ER'!AP16</f>
        <v>934.64999999999986</v>
      </c>
      <c r="AQ16" s="420">
        <f>'F2 Weiterführung ER'!AQ16+'F5b DELTA ER'!AQ16</f>
        <v>939.3232499999998</v>
      </c>
      <c r="AR16" s="420">
        <f>'F2 Weiterführung ER'!AR16+'F5b DELTA ER'!AR16</f>
        <v>939.3232499999998</v>
      </c>
      <c r="AS16" s="423">
        <f>'F2 Weiterführung ER'!AS16+'F5b DELTA ER'!AS16</f>
        <v>944.01986624999972</v>
      </c>
      <c r="AU16" s="420">
        <f>'F2 Weiterführung ER'!AU16</f>
        <v>1394</v>
      </c>
      <c r="AV16" s="421">
        <f>'F2 Weiterführung ER'!AV16</f>
        <v>1375</v>
      </c>
      <c r="AW16" s="422">
        <f>'F2 Weiterführung ER'!AW16+'F5b DELTA ER'!AW16</f>
        <v>1381.8749999999998</v>
      </c>
      <c r="AX16" s="420">
        <f>'F2 Weiterführung ER'!AX16+'F5b DELTA ER'!AX16</f>
        <v>1381.8749999999998</v>
      </c>
      <c r="AY16" s="420">
        <f>'F2 Weiterführung ER'!AY16+'F5b DELTA ER'!AY16</f>
        <v>1388.7843749999997</v>
      </c>
      <c r="AZ16" s="420">
        <f>'F2 Weiterführung ER'!AZ16+'F5b DELTA ER'!AZ16</f>
        <v>1388.7843749999997</v>
      </c>
      <c r="BA16" s="423">
        <f>'F2 Weiterführung ER'!BA16+'F5b DELTA ER'!BA16</f>
        <v>1395.7282968749996</v>
      </c>
      <c r="BC16" s="420">
        <f>'F2 Weiterführung ER'!BC16</f>
        <v>98</v>
      </c>
      <c r="BD16" s="421">
        <f>'F2 Weiterführung ER'!BD16</f>
        <v>74</v>
      </c>
      <c r="BE16" s="422">
        <f>'F2 Weiterführung ER'!BE16+'F5b DELTA ER'!BE16</f>
        <v>74.36999999999999</v>
      </c>
      <c r="BF16" s="420">
        <f>'F2 Weiterführung ER'!BF16+'F5b DELTA ER'!BF16</f>
        <v>74.36999999999999</v>
      </c>
      <c r="BG16" s="420">
        <f>'F2 Weiterführung ER'!BG16+'F5b DELTA ER'!BG16</f>
        <v>74.741849999999985</v>
      </c>
      <c r="BH16" s="420">
        <f>'F2 Weiterführung ER'!BH16+'F5b DELTA ER'!BH16</f>
        <v>74.741849999999985</v>
      </c>
      <c r="BI16" s="423">
        <f>'F2 Weiterführung ER'!BI16+'F5b DELTA ER'!BI16</f>
        <v>75.115559249999976</v>
      </c>
    </row>
    <row r="17" spans="2:62" s="660" customFormat="1" ht="11.1" customHeight="1">
      <c r="B17" s="661">
        <v>33</v>
      </c>
      <c r="C17" s="667"/>
      <c r="D17" s="1428" t="s">
        <v>86</v>
      </c>
      <c r="E17" s="1428"/>
      <c r="F17" s="1429"/>
      <c r="G17" s="420">
        <f>'F2 Weiterführung ER'!G17</f>
        <v>1255</v>
      </c>
      <c r="H17" s="421">
        <f>'F2 Weiterführung ER'!H17</f>
        <v>1340</v>
      </c>
      <c r="I17" s="422">
        <f>'F4 Investitionsplanung VV'!R14-'F4 Investitionsplanung VV'!R12+'F5b DELTA ER'!I17</f>
        <v>1202</v>
      </c>
      <c r="J17" s="420">
        <f>'F4 Investitionsplanung VV'!S14-'F4 Investitionsplanung VV'!S12+'F5b DELTA ER'!J17</f>
        <v>1284.8803030303029</v>
      </c>
      <c r="K17" s="420">
        <f>'F4 Investitionsplanung VV'!T14-'F4 Investitionsplanung VV'!T12+'F5b DELTA ER'!K17</f>
        <v>1356.9257575757576</v>
      </c>
      <c r="L17" s="420">
        <f>'F4 Investitionsplanung VV'!U14-'F4 Investitionsplanung VV'!U12+'F5b DELTA ER'!L17</f>
        <v>1450.9712121212121</v>
      </c>
      <c r="M17" s="423">
        <f>'F4 Investitionsplanung VV'!V14-'F4 Investitionsplanung VV'!V12+'F5b DELTA ER'!M17</f>
        <v>1441.4969696969697</v>
      </c>
      <c r="N17" s="602" t="str">
        <f t="shared" si="7"/>
        <v/>
      </c>
      <c r="O17" s="420">
        <f>'F2 Weiterführung ER'!O17</f>
        <v>105</v>
      </c>
      <c r="P17" s="421">
        <f>'F2 Weiterführung ER'!P17</f>
        <v>114</v>
      </c>
      <c r="Q17" s="592">
        <f>'F4 Investitionsplanung VV'!$R17+'F5b DELTA ER'!Q17</f>
        <v>104</v>
      </c>
      <c r="R17" s="593">
        <f>'F4 Investitionsplanung VV'!$S17+'F5b DELTA ER'!R17</f>
        <v>90</v>
      </c>
      <c r="S17" s="593">
        <f>'F4 Investitionsplanung VV'!$T17+'F5b DELTA ER'!S17</f>
        <v>91.25</v>
      </c>
      <c r="T17" s="593">
        <f>'F4 Investitionsplanung VV'!$U17+'F5b DELTA ER'!T17</f>
        <v>93.25</v>
      </c>
      <c r="U17" s="594">
        <f>'F4 Investitionsplanung VV'!$V17+'F5b DELTA ER'!U17</f>
        <v>103.25</v>
      </c>
      <c r="W17" s="420">
        <f>'F2 Weiterführung ER'!W17</f>
        <v>460</v>
      </c>
      <c r="X17" s="421">
        <f>'F2 Weiterführung ER'!X17</f>
        <v>454</v>
      </c>
      <c r="Y17" s="592">
        <f>'F4 Investitionsplanung VV'!$R27+'F5b DELTA ER'!Y17</f>
        <v>449</v>
      </c>
      <c r="Z17" s="593">
        <f>'F4 Investitionsplanung VV'!$S27+'F5b DELTA ER'!Z17</f>
        <v>467.125</v>
      </c>
      <c r="AA17" s="593">
        <f>'F4 Investitionsplanung VV'!$T27+'F5b DELTA ER'!AA17</f>
        <v>491</v>
      </c>
      <c r="AB17" s="593">
        <f>'F4 Investitionsplanung VV'!$U27+'F5b DELTA ER'!AB17</f>
        <v>501.75</v>
      </c>
      <c r="AC17" s="594">
        <f>'F4 Investitionsplanung VV'!$V27+'F5b DELTA ER'!AC17</f>
        <v>436.75</v>
      </c>
      <c r="AE17" s="420">
        <f>'F2 Weiterführung ER'!AE17</f>
        <v>15</v>
      </c>
      <c r="AF17" s="421">
        <f>'F2 Weiterführung ER'!AF17</f>
        <v>50</v>
      </c>
      <c r="AG17" s="592">
        <f>'F4 Investitionsplanung VV'!$R38+'F5b DELTA ER'!AG17</f>
        <v>50</v>
      </c>
      <c r="AH17" s="593">
        <f>'F4 Investitionsplanung VV'!$S38+'F5b DELTA ER'!AH17</f>
        <v>56.75</v>
      </c>
      <c r="AI17" s="593">
        <f>'F4 Investitionsplanung VV'!$T38+'F5b DELTA ER'!AI17</f>
        <v>63</v>
      </c>
      <c r="AJ17" s="593">
        <f>'F4 Investitionsplanung VV'!$U38+'F5b DELTA ER'!AJ17</f>
        <v>63</v>
      </c>
      <c r="AK17" s="594">
        <f>'F4 Investitionsplanung VV'!$V38+'F5b DELTA ER'!AK17</f>
        <v>63</v>
      </c>
      <c r="AM17" s="420">
        <f>'F2 Weiterführung ER'!AM17</f>
        <v>320</v>
      </c>
      <c r="AN17" s="421">
        <f>'F2 Weiterführung ER'!AN17</f>
        <v>329</v>
      </c>
      <c r="AO17" s="592">
        <f>'F4 Investitionsplanung VV'!$R45+'F5b DELTA ER'!AO17</f>
        <v>206</v>
      </c>
      <c r="AP17" s="593">
        <f>'F4 Investitionsplanung VV'!$S45+'F5b DELTA ER'!AP17</f>
        <v>156.94696969696969</v>
      </c>
      <c r="AQ17" s="593">
        <f>'F4 Investitionsplanung VV'!$T45+'F5b DELTA ER'!AQ17</f>
        <v>157.49242424242425</v>
      </c>
      <c r="AR17" s="593">
        <f>'F4 Investitionsplanung VV'!$U45+'F5b DELTA ER'!AR17</f>
        <v>185.37121212121212</v>
      </c>
      <c r="AS17" s="594">
        <f>'F4 Investitionsplanung VV'!$V45+'F5b DELTA ER'!AS17</f>
        <v>209.61363636363637</v>
      </c>
      <c r="AU17" s="420">
        <f>'F2 Weiterführung ER'!AU17</f>
        <v>355</v>
      </c>
      <c r="AV17" s="421">
        <f>'F2 Weiterführung ER'!AV17</f>
        <v>393</v>
      </c>
      <c r="AW17" s="592">
        <f>'F4 Investitionsplanung VV'!$R53+'F5b DELTA ER'!AW17</f>
        <v>393</v>
      </c>
      <c r="AX17" s="593">
        <f>'F4 Investitionsplanung VV'!$S53+'F5b DELTA ER'!AX17</f>
        <v>514.05833333333317</v>
      </c>
      <c r="AY17" s="593">
        <f>'F4 Investitionsplanung VV'!$T53+'F5b DELTA ER'!AY17</f>
        <v>554.18333333333339</v>
      </c>
      <c r="AZ17" s="593">
        <f>'F4 Investitionsplanung VV'!$U53+'F5b DELTA ER'!AZ17</f>
        <v>607.6</v>
      </c>
      <c r="BA17" s="594">
        <f>'F4 Investitionsplanung VV'!$V53+'F5b DELTA ER'!BA17</f>
        <v>628.88333333333333</v>
      </c>
      <c r="BC17" s="420">
        <f>'F2 Weiterführung ER'!BC17</f>
        <v>0</v>
      </c>
      <c r="BD17" s="421">
        <f>'F2 Weiterführung ER'!BD17</f>
        <v>0</v>
      </c>
      <c r="BE17" s="592">
        <f>'F4 Investitionsplanung VV'!$R81+'F5b DELTA ER'!BE17</f>
        <v>0</v>
      </c>
      <c r="BF17" s="593">
        <f>'F4 Investitionsplanung VV'!$S81+'F5b DELTA ER'!BF17</f>
        <v>0</v>
      </c>
      <c r="BG17" s="593">
        <f>'F4 Investitionsplanung VV'!$T81+'F5b DELTA ER'!BG17</f>
        <v>0</v>
      </c>
      <c r="BH17" s="593">
        <f>'F4 Investitionsplanung VV'!$U81+'F5b DELTA ER'!BH17</f>
        <v>0</v>
      </c>
      <c r="BI17" s="594">
        <f>'F4 Investitionsplanung VV'!$V81+'F5b DELTA ER'!BI17</f>
        <v>0</v>
      </c>
    </row>
    <row r="18" spans="2:62" s="660" customFormat="1" ht="11.1" customHeight="1">
      <c r="B18" s="661">
        <v>34</v>
      </c>
      <c r="C18" s="667"/>
      <c r="D18" s="1428" t="s">
        <v>87</v>
      </c>
      <c r="E18" s="1428"/>
      <c r="F18" s="1429"/>
      <c r="G18" s="420">
        <f>'F2 Weiterführung ER'!G18</f>
        <v>20</v>
      </c>
      <c r="H18" s="421">
        <f>'F2 Weiterführung ER'!H18</f>
        <v>16</v>
      </c>
      <c r="I18" s="422">
        <f>'F2 Weiterführung ER'!I18+SUM('F5b DELTA ER'!I18:I21)</f>
        <v>16.362500000000001</v>
      </c>
      <c r="J18" s="420">
        <f>'F2 Weiterführung ER'!J18+SUM('F5b DELTA ER'!J18:J21)</f>
        <v>22.04659375</v>
      </c>
      <c r="K18" s="420">
        <f>'F2 Weiterführung ER'!K18+SUM('F5b DELTA ER'!K18:K21)</f>
        <v>33.053457471249992</v>
      </c>
      <c r="L18" s="420">
        <f>'F2 Weiterführung ER'!L18+SUM('F5b DELTA ER'!L18:L21)</f>
        <v>40.694038726231732</v>
      </c>
      <c r="M18" s="423">
        <f>'F2 Weiterführung ER'!M18+SUM('F5b DELTA ER'!M18:M21)</f>
        <v>42.923137710814743</v>
      </c>
      <c r="N18" s="602" t="str">
        <f t="shared" si="7"/>
        <v/>
      </c>
      <c r="O18" s="420">
        <f>'F2 Weiterführung ER'!O18</f>
        <v>0</v>
      </c>
      <c r="P18" s="421">
        <f>'F2 Weiterführung ER'!P18</f>
        <v>0</v>
      </c>
      <c r="Q18" s="422">
        <f>'F2 Weiterführung ER'!Q18+SUM('F5b DELTA ER'!Q18:Q21)</f>
        <v>0</v>
      </c>
      <c r="R18" s="420">
        <f>'F2 Weiterführung ER'!R18+SUM('F5b DELTA ER'!R18:R21)</f>
        <v>0</v>
      </c>
      <c r="S18" s="420">
        <f>'F2 Weiterführung ER'!S18+SUM('F5b DELTA ER'!S18:S21)</f>
        <v>0</v>
      </c>
      <c r="T18" s="420">
        <f>'F2 Weiterführung ER'!T18+SUM('F5b DELTA ER'!T18:T21)</f>
        <v>0</v>
      </c>
      <c r="U18" s="423">
        <f>'F2 Weiterführung ER'!U18+SUM('F5b DELTA ER'!U18:U21)</f>
        <v>0</v>
      </c>
      <c r="W18" s="420">
        <f>'F2 Weiterführung ER'!W18</f>
        <v>0</v>
      </c>
      <c r="X18" s="421">
        <f>'F2 Weiterführung ER'!X18</f>
        <v>0</v>
      </c>
      <c r="Y18" s="422">
        <f>'F2 Weiterführung ER'!Y18+SUM('F5b DELTA ER'!Y18:Y21)</f>
        <v>0</v>
      </c>
      <c r="Z18" s="420">
        <f>'F2 Weiterführung ER'!Z18+SUM('F5b DELTA ER'!Z18:Z21)</f>
        <v>0</v>
      </c>
      <c r="AA18" s="420">
        <f>'F2 Weiterführung ER'!AA18+SUM('F5b DELTA ER'!AA18:AA21)</f>
        <v>0</v>
      </c>
      <c r="AB18" s="420">
        <f>'F2 Weiterführung ER'!AB18+SUM('F5b DELTA ER'!AB18:AB21)</f>
        <v>0</v>
      </c>
      <c r="AC18" s="423">
        <f>'F2 Weiterführung ER'!AC18+SUM('F5b DELTA ER'!AC18:AC21)</f>
        <v>0</v>
      </c>
      <c r="AE18" s="420">
        <f>'F2 Weiterführung ER'!AE18</f>
        <v>0</v>
      </c>
      <c r="AF18" s="421">
        <f>'F2 Weiterführung ER'!AF18</f>
        <v>0</v>
      </c>
      <c r="AG18" s="422">
        <f>'F2 Weiterführung ER'!AG18+SUM('F5b DELTA ER'!AG18:AG21)</f>
        <v>0</v>
      </c>
      <c r="AH18" s="420">
        <f>'F2 Weiterführung ER'!AH18+SUM('F5b DELTA ER'!AH18:AH21)</f>
        <v>0</v>
      </c>
      <c r="AI18" s="420">
        <f>'F2 Weiterführung ER'!AI18+SUM('F5b DELTA ER'!AI18:AI21)</f>
        <v>0</v>
      </c>
      <c r="AJ18" s="420">
        <f>'F2 Weiterführung ER'!AJ18+SUM('F5b DELTA ER'!AJ18:AJ21)</f>
        <v>0</v>
      </c>
      <c r="AK18" s="423">
        <f>'F2 Weiterführung ER'!AK18+SUM('F5b DELTA ER'!AK18:AK21)</f>
        <v>0</v>
      </c>
      <c r="AM18" s="420">
        <f>'F2 Weiterführung ER'!AM18</f>
        <v>1</v>
      </c>
      <c r="AN18" s="421">
        <f>'F2 Weiterführung ER'!AN18</f>
        <v>0</v>
      </c>
      <c r="AO18" s="422">
        <f>'F2 Weiterführung ER'!AO18+SUM('F5b DELTA ER'!AO18:AO21)</f>
        <v>0</v>
      </c>
      <c r="AP18" s="420">
        <f>'F2 Weiterführung ER'!AP18+SUM('F5b DELTA ER'!AP18:AP21)</f>
        <v>0</v>
      </c>
      <c r="AQ18" s="420">
        <f>'F2 Weiterführung ER'!AQ18+SUM('F5b DELTA ER'!AQ18:AQ21)</f>
        <v>0</v>
      </c>
      <c r="AR18" s="420">
        <f>'F2 Weiterführung ER'!AR18+SUM('F5b DELTA ER'!AR18:AR21)</f>
        <v>0</v>
      </c>
      <c r="AS18" s="423">
        <f>'F2 Weiterführung ER'!AS18+SUM('F5b DELTA ER'!AS18:AS21)</f>
        <v>0</v>
      </c>
      <c r="AU18" s="420">
        <f>'F2 Weiterführung ER'!AU18</f>
        <v>0</v>
      </c>
      <c r="AV18" s="421">
        <f>'F2 Weiterführung ER'!AV18</f>
        <v>0</v>
      </c>
      <c r="AW18" s="422">
        <f>'F2 Weiterführung ER'!AW18+SUM('F5b DELTA ER'!AW18:AW21)</f>
        <v>0</v>
      </c>
      <c r="AX18" s="420">
        <f>'F2 Weiterführung ER'!AX18+SUM('F5b DELTA ER'!AX18:AX21)</f>
        <v>0</v>
      </c>
      <c r="AY18" s="420">
        <f>'F2 Weiterführung ER'!AY18+SUM('F5b DELTA ER'!AY18:AY21)</f>
        <v>0</v>
      </c>
      <c r="AZ18" s="420">
        <f>'F2 Weiterführung ER'!AZ18+SUM('F5b DELTA ER'!AZ18:AZ21)</f>
        <v>0</v>
      </c>
      <c r="BA18" s="423">
        <f>'F2 Weiterführung ER'!BA18+SUM('F5b DELTA ER'!BA18:BA21)</f>
        <v>0</v>
      </c>
      <c r="BC18" s="420">
        <f>'F2 Weiterführung ER'!BC18</f>
        <v>19</v>
      </c>
      <c r="BD18" s="421">
        <f>'F2 Weiterführung ER'!BD18</f>
        <v>16</v>
      </c>
      <c r="BE18" s="422">
        <f>'F2 Weiterführung ER'!BE18+SUM('F5b DELTA ER'!BE18:BE21)</f>
        <v>16.362500000000001</v>
      </c>
      <c r="BF18" s="420">
        <f>'F2 Weiterführung ER'!BF18+SUM('F5b DELTA ER'!BF18:BF21)</f>
        <v>22.04659375</v>
      </c>
      <c r="BG18" s="420">
        <f>'F2 Weiterführung ER'!BG18+SUM('F5b DELTA ER'!BG18:BG21)</f>
        <v>33.053457471249992</v>
      </c>
      <c r="BH18" s="420">
        <f>'F2 Weiterführung ER'!BH18+SUM('F5b DELTA ER'!BH18:BH21)</f>
        <v>40.694038726231732</v>
      </c>
      <c r="BI18" s="423">
        <f>'F2 Weiterführung ER'!BI18+SUM('F5b DELTA ER'!BI18:BI21)</f>
        <v>42.923137710814743</v>
      </c>
    </row>
    <row r="19" spans="2:62" s="660" customFormat="1" ht="11.1" customHeight="1">
      <c r="B19" s="661"/>
      <c r="C19" s="699">
        <v>340</v>
      </c>
      <c r="D19" s="1262" t="s">
        <v>357</v>
      </c>
      <c r="E19" s="1262"/>
      <c r="F19" s="1260"/>
      <c r="G19" s="646">
        <f>'F2 Weiterführung ER'!G19</f>
        <v>19</v>
      </c>
      <c r="H19" s="647">
        <f>'F2 Weiterführung ER'!H19</f>
        <v>15</v>
      </c>
      <c r="I19" s="648">
        <f>'F2 Weiterführung ER'!I19+'F5b DELTA ER'!I19</f>
        <v>16.362500000000001</v>
      </c>
      <c r="J19" s="649">
        <f>'F2 Weiterführung ER'!J19+'F5b DELTA ER'!J19</f>
        <v>22.04659375</v>
      </c>
      <c r="K19" s="649">
        <f>'F2 Weiterführung ER'!K19+'F5b DELTA ER'!K19</f>
        <v>33.053457471249992</v>
      </c>
      <c r="L19" s="649">
        <f>'F2 Weiterführung ER'!L19+'F5b DELTA ER'!L19</f>
        <v>40.694038726231732</v>
      </c>
      <c r="M19" s="595">
        <f>'F2 Weiterführung ER'!M19+'F5b DELTA ER'!M19</f>
        <v>42.923137710814743</v>
      </c>
      <c r="N19" s="602" t="str">
        <f t="shared" si="7"/>
        <v/>
      </c>
      <c r="O19" s="646">
        <f>'F2 Weiterführung ER'!O19</f>
        <v>0</v>
      </c>
      <c r="P19" s="647">
        <f>'F2 Weiterführung ER'!P19</f>
        <v>0</v>
      </c>
      <c r="Q19" s="648">
        <f>'F2 Weiterführung ER'!Q19+'F5b DELTA ER'!Q19</f>
        <v>0</v>
      </c>
      <c r="R19" s="649">
        <f>'F2 Weiterführung ER'!R19+'F5b DELTA ER'!R19</f>
        <v>0</v>
      </c>
      <c r="S19" s="649">
        <f>'F2 Weiterführung ER'!S19+'F5b DELTA ER'!S19</f>
        <v>0</v>
      </c>
      <c r="T19" s="649">
        <f>'F2 Weiterführung ER'!T19+'F5b DELTA ER'!T19</f>
        <v>0</v>
      </c>
      <c r="U19" s="595">
        <f>'F2 Weiterführung ER'!U19+'F5b DELTA ER'!U19</f>
        <v>0</v>
      </c>
      <c r="V19" s="665"/>
      <c r="W19" s="646">
        <f>'F2 Weiterführung ER'!W19</f>
        <v>0</v>
      </c>
      <c r="X19" s="647">
        <f>'F2 Weiterführung ER'!X19</f>
        <v>0</v>
      </c>
      <c r="Y19" s="648">
        <f>'F2 Weiterführung ER'!Y19+'F5b DELTA ER'!Y19</f>
        <v>0</v>
      </c>
      <c r="Z19" s="649">
        <f>'F2 Weiterführung ER'!Z19+'F5b DELTA ER'!Z19</f>
        <v>0</v>
      </c>
      <c r="AA19" s="649">
        <f>'F2 Weiterführung ER'!AA19+'F5b DELTA ER'!AA19</f>
        <v>0</v>
      </c>
      <c r="AB19" s="649">
        <f>'F2 Weiterführung ER'!AB19+'F5b DELTA ER'!AB19</f>
        <v>0</v>
      </c>
      <c r="AC19" s="595">
        <f>'F2 Weiterführung ER'!AC19+'F5b DELTA ER'!AC19</f>
        <v>0</v>
      </c>
      <c r="AD19" s="665"/>
      <c r="AE19" s="646">
        <f>'F2 Weiterführung ER'!AE19</f>
        <v>0</v>
      </c>
      <c r="AF19" s="647">
        <f>'F2 Weiterführung ER'!AF19</f>
        <v>0</v>
      </c>
      <c r="AG19" s="648">
        <f>'F2 Weiterführung ER'!AG19+'F5b DELTA ER'!AG19</f>
        <v>0</v>
      </c>
      <c r="AH19" s="649">
        <f>'F2 Weiterführung ER'!AH19+'F5b DELTA ER'!AH19</f>
        <v>0</v>
      </c>
      <c r="AI19" s="649">
        <f>'F2 Weiterführung ER'!AI19+'F5b DELTA ER'!AI19</f>
        <v>0</v>
      </c>
      <c r="AJ19" s="649">
        <f>'F2 Weiterführung ER'!AJ19+'F5b DELTA ER'!AJ19</f>
        <v>0</v>
      </c>
      <c r="AK19" s="595">
        <f>'F2 Weiterführung ER'!AK19+'F5b DELTA ER'!AK19</f>
        <v>0</v>
      </c>
      <c r="AL19" s="665"/>
      <c r="AM19" s="646">
        <f>'F2 Weiterführung ER'!AM19</f>
        <v>1</v>
      </c>
      <c r="AN19" s="647">
        <f>'F2 Weiterführung ER'!AN19</f>
        <v>0</v>
      </c>
      <c r="AO19" s="648">
        <f>'F2 Weiterführung ER'!AO19+'F5b DELTA ER'!AO19</f>
        <v>0</v>
      </c>
      <c r="AP19" s="649">
        <f>'F2 Weiterführung ER'!AP19+'F5b DELTA ER'!AP19</f>
        <v>0</v>
      </c>
      <c r="AQ19" s="649">
        <f>'F2 Weiterführung ER'!AQ19+'F5b DELTA ER'!AQ19</f>
        <v>0</v>
      </c>
      <c r="AR19" s="649">
        <f>'F2 Weiterführung ER'!AR19+'F5b DELTA ER'!AR19</f>
        <v>0</v>
      </c>
      <c r="AS19" s="595">
        <f>'F2 Weiterführung ER'!AS19+'F5b DELTA ER'!AS19</f>
        <v>0</v>
      </c>
      <c r="AT19" s="665"/>
      <c r="AU19" s="646">
        <f>'F2 Weiterführung ER'!AU19</f>
        <v>0</v>
      </c>
      <c r="AV19" s="647">
        <f>'F2 Weiterführung ER'!AV19</f>
        <v>0</v>
      </c>
      <c r="AW19" s="648">
        <f>'F2 Weiterführung ER'!AW19+'F5b DELTA ER'!AW19</f>
        <v>0</v>
      </c>
      <c r="AX19" s="649">
        <f>'F2 Weiterführung ER'!AX19+'F5b DELTA ER'!AX19</f>
        <v>0</v>
      </c>
      <c r="AY19" s="649">
        <f>'F2 Weiterführung ER'!AY19+'F5b DELTA ER'!AY19</f>
        <v>0</v>
      </c>
      <c r="AZ19" s="649">
        <f>'F2 Weiterführung ER'!AZ19+'F5b DELTA ER'!AZ19</f>
        <v>0</v>
      </c>
      <c r="BA19" s="595">
        <f>'F2 Weiterführung ER'!BA19+'F5b DELTA ER'!BA19</f>
        <v>0</v>
      </c>
      <c r="BB19" s="665"/>
      <c r="BC19" s="646">
        <f>'F2 Weiterführung ER'!BC19</f>
        <v>18</v>
      </c>
      <c r="BD19" s="647">
        <f>'F2 Weiterführung ER'!BD19</f>
        <v>15</v>
      </c>
      <c r="BE19" s="648">
        <f>'F2 Weiterführung ER'!BE19+'F5b DELTA ER'!BE19</f>
        <v>16.362500000000001</v>
      </c>
      <c r="BF19" s="649">
        <f>'F2 Weiterführung ER'!BF19+'F5b DELTA ER'!BF19</f>
        <v>22.04659375</v>
      </c>
      <c r="BG19" s="649">
        <f>'F2 Weiterführung ER'!BG19+'F5b DELTA ER'!BG19</f>
        <v>33.053457471249992</v>
      </c>
      <c r="BH19" s="649">
        <f>'F2 Weiterführung ER'!BH19+'F5b DELTA ER'!BH19</f>
        <v>40.694038726231732</v>
      </c>
      <c r="BI19" s="595">
        <f>'F2 Weiterführung ER'!BI19+'F5b DELTA ER'!BI19</f>
        <v>42.923137710814743</v>
      </c>
      <c r="BJ19" s="665"/>
    </row>
    <row r="20" spans="2:62" s="660" customFormat="1" ht="11.1" customHeight="1">
      <c r="B20" s="661"/>
      <c r="C20" s="699">
        <v>341</v>
      </c>
      <c r="D20" s="700" t="s">
        <v>209</v>
      </c>
      <c r="E20" s="700"/>
      <c r="F20" s="692"/>
      <c r="G20" s="646">
        <f>'F2 Weiterführung ER'!G20</f>
        <v>0</v>
      </c>
      <c r="H20" s="647">
        <f>'F2 Weiterführung ER'!H20</f>
        <v>0</v>
      </c>
      <c r="I20" s="648">
        <f>'F2 Weiterführung ER'!I20+'F5b DELTA ER'!I20</f>
        <v>0</v>
      </c>
      <c r="J20" s="649">
        <f>'F2 Weiterführung ER'!J20+'F5b DELTA ER'!J20</f>
        <v>0</v>
      </c>
      <c r="K20" s="649">
        <f>'F2 Weiterführung ER'!K20+'F5b DELTA ER'!K20</f>
        <v>0</v>
      </c>
      <c r="L20" s="649">
        <f>'F2 Weiterführung ER'!L20+'F5b DELTA ER'!L20</f>
        <v>0</v>
      </c>
      <c r="M20" s="595">
        <f>'F2 Weiterführung ER'!M20+'F5b DELTA ER'!M20</f>
        <v>0</v>
      </c>
      <c r="N20" s="602" t="str">
        <f t="shared" si="7"/>
        <v/>
      </c>
      <c r="O20" s="646">
        <f>'F2 Weiterführung ER'!O20</f>
        <v>0</v>
      </c>
      <c r="P20" s="647">
        <f>'F2 Weiterführung ER'!P20</f>
        <v>0</v>
      </c>
      <c r="Q20" s="648">
        <f>'F2 Weiterführung ER'!Q20+'F5b DELTA ER'!Q20</f>
        <v>0</v>
      </c>
      <c r="R20" s="649">
        <f>'F2 Weiterführung ER'!R20+'F5b DELTA ER'!R20</f>
        <v>0</v>
      </c>
      <c r="S20" s="649">
        <f>'F2 Weiterführung ER'!S20+'F5b DELTA ER'!S20</f>
        <v>0</v>
      </c>
      <c r="T20" s="649">
        <f>'F2 Weiterführung ER'!T20+'F5b DELTA ER'!T20</f>
        <v>0</v>
      </c>
      <c r="U20" s="595">
        <f>'F2 Weiterführung ER'!U20+'F5b DELTA ER'!U20</f>
        <v>0</v>
      </c>
      <c r="V20" s="665"/>
      <c r="W20" s="646">
        <f>'F2 Weiterführung ER'!W20</f>
        <v>0</v>
      </c>
      <c r="X20" s="647">
        <f>'F2 Weiterführung ER'!X20</f>
        <v>0</v>
      </c>
      <c r="Y20" s="648">
        <f>'F2 Weiterführung ER'!Y20+'F5b DELTA ER'!Y20</f>
        <v>0</v>
      </c>
      <c r="Z20" s="649">
        <f>'F2 Weiterführung ER'!Z20+'F5b DELTA ER'!Z20</f>
        <v>0</v>
      </c>
      <c r="AA20" s="649">
        <f>'F2 Weiterführung ER'!AA20+'F5b DELTA ER'!AA20</f>
        <v>0</v>
      </c>
      <c r="AB20" s="649">
        <f>'F2 Weiterführung ER'!AB20+'F5b DELTA ER'!AB20</f>
        <v>0</v>
      </c>
      <c r="AC20" s="595">
        <f>'F2 Weiterführung ER'!AC20+'F5b DELTA ER'!AC20</f>
        <v>0</v>
      </c>
      <c r="AD20" s="665"/>
      <c r="AE20" s="646">
        <f>'F2 Weiterführung ER'!AE20</f>
        <v>0</v>
      </c>
      <c r="AF20" s="647">
        <f>'F2 Weiterführung ER'!AF20</f>
        <v>0</v>
      </c>
      <c r="AG20" s="648">
        <f>'F2 Weiterführung ER'!AG20+'F5b DELTA ER'!AG20</f>
        <v>0</v>
      </c>
      <c r="AH20" s="649">
        <f>'F2 Weiterführung ER'!AH20+'F5b DELTA ER'!AH20</f>
        <v>0</v>
      </c>
      <c r="AI20" s="649">
        <f>'F2 Weiterführung ER'!AI20+'F5b DELTA ER'!AI20</f>
        <v>0</v>
      </c>
      <c r="AJ20" s="649">
        <f>'F2 Weiterführung ER'!AJ20+'F5b DELTA ER'!AJ20</f>
        <v>0</v>
      </c>
      <c r="AK20" s="595">
        <f>'F2 Weiterführung ER'!AK20+'F5b DELTA ER'!AK20</f>
        <v>0</v>
      </c>
      <c r="AL20" s="665"/>
      <c r="AM20" s="646">
        <f>'F2 Weiterführung ER'!AM20</f>
        <v>0</v>
      </c>
      <c r="AN20" s="647">
        <f>'F2 Weiterführung ER'!AN20</f>
        <v>0</v>
      </c>
      <c r="AO20" s="648">
        <f>'F2 Weiterführung ER'!AO20+'F5b DELTA ER'!AO20</f>
        <v>0</v>
      </c>
      <c r="AP20" s="649">
        <f>'F2 Weiterführung ER'!AP20+'F5b DELTA ER'!AP20</f>
        <v>0</v>
      </c>
      <c r="AQ20" s="649">
        <f>'F2 Weiterführung ER'!AQ20+'F5b DELTA ER'!AQ20</f>
        <v>0</v>
      </c>
      <c r="AR20" s="649">
        <f>'F2 Weiterführung ER'!AR20+'F5b DELTA ER'!AR20</f>
        <v>0</v>
      </c>
      <c r="AS20" s="595">
        <f>'F2 Weiterführung ER'!AS20+'F5b DELTA ER'!AS20</f>
        <v>0</v>
      </c>
      <c r="AT20" s="665"/>
      <c r="AU20" s="646">
        <f>'F2 Weiterführung ER'!AU20</f>
        <v>0</v>
      </c>
      <c r="AV20" s="647">
        <f>'F2 Weiterführung ER'!AV20</f>
        <v>0</v>
      </c>
      <c r="AW20" s="648">
        <f>'F2 Weiterführung ER'!AW20+'F5b DELTA ER'!AW20</f>
        <v>0</v>
      </c>
      <c r="AX20" s="649">
        <f>'F2 Weiterführung ER'!AX20+'F5b DELTA ER'!AX20</f>
        <v>0</v>
      </c>
      <c r="AY20" s="649">
        <f>'F2 Weiterführung ER'!AY20+'F5b DELTA ER'!AY20</f>
        <v>0</v>
      </c>
      <c r="AZ20" s="649">
        <f>'F2 Weiterführung ER'!AZ20+'F5b DELTA ER'!AZ20</f>
        <v>0</v>
      </c>
      <c r="BA20" s="595">
        <f>'F2 Weiterführung ER'!BA20+'F5b DELTA ER'!BA20</f>
        <v>0</v>
      </c>
      <c r="BB20" s="665"/>
      <c r="BC20" s="646">
        <f>'F2 Weiterführung ER'!BC20</f>
        <v>0</v>
      </c>
      <c r="BD20" s="647">
        <f>'F2 Weiterführung ER'!BD20</f>
        <v>0</v>
      </c>
      <c r="BE20" s="648">
        <f>'F2 Weiterführung ER'!BE20+'F5b DELTA ER'!BE20</f>
        <v>0</v>
      </c>
      <c r="BF20" s="649">
        <f>'F2 Weiterführung ER'!BF20+'F5b DELTA ER'!BF20</f>
        <v>0</v>
      </c>
      <c r="BG20" s="649">
        <f>'F2 Weiterführung ER'!BG20+'F5b DELTA ER'!BG20</f>
        <v>0</v>
      </c>
      <c r="BH20" s="649">
        <f>'F2 Weiterführung ER'!BH20+'F5b DELTA ER'!BH20</f>
        <v>0</v>
      </c>
      <c r="BI20" s="595">
        <f>'F2 Weiterführung ER'!BI20+'F5b DELTA ER'!BI20</f>
        <v>0</v>
      </c>
      <c r="BJ20" s="665"/>
    </row>
    <row r="21" spans="2:62" s="660" customFormat="1" ht="11.1" customHeight="1">
      <c r="B21" s="661"/>
      <c r="C21" s="699" t="s">
        <v>206</v>
      </c>
      <c r="D21" s="700" t="s">
        <v>210</v>
      </c>
      <c r="E21" s="700"/>
      <c r="F21" s="692"/>
      <c r="G21" s="646">
        <f>'F2 Weiterführung ER'!G21</f>
        <v>0</v>
      </c>
      <c r="H21" s="647">
        <f>'F2 Weiterführung ER'!H21</f>
        <v>1</v>
      </c>
      <c r="I21" s="648">
        <f>'F2 Weiterführung ER'!I21+'F5b DELTA ER'!I21</f>
        <v>0</v>
      </c>
      <c r="J21" s="649">
        <f>'F2 Weiterführung ER'!J21+'F5b DELTA ER'!J21</f>
        <v>0</v>
      </c>
      <c r="K21" s="649">
        <f>'F2 Weiterführung ER'!K21+'F5b DELTA ER'!K21</f>
        <v>0</v>
      </c>
      <c r="L21" s="649">
        <f>'F2 Weiterführung ER'!L21+'F5b DELTA ER'!L21</f>
        <v>0</v>
      </c>
      <c r="M21" s="595">
        <f>'F2 Weiterführung ER'!M21+'F5b DELTA ER'!M21</f>
        <v>0</v>
      </c>
      <c r="N21" s="602" t="str">
        <f t="shared" si="7"/>
        <v/>
      </c>
      <c r="O21" s="646">
        <f>'F2 Weiterführung ER'!O21</f>
        <v>0</v>
      </c>
      <c r="P21" s="647">
        <f>'F2 Weiterführung ER'!P21</f>
        <v>0</v>
      </c>
      <c r="Q21" s="648">
        <f>'F2 Weiterführung ER'!Q21+'F5b DELTA ER'!Q21</f>
        <v>0</v>
      </c>
      <c r="R21" s="649">
        <f>'F2 Weiterführung ER'!R21+'F5b DELTA ER'!R21</f>
        <v>0</v>
      </c>
      <c r="S21" s="649">
        <f>'F2 Weiterführung ER'!S21+'F5b DELTA ER'!S21</f>
        <v>0</v>
      </c>
      <c r="T21" s="649">
        <f>'F2 Weiterführung ER'!T21+'F5b DELTA ER'!T21</f>
        <v>0</v>
      </c>
      <c r="U21" s="595">
        <f>'F2 Weiterführung ER'!U21+'F5b DELTA ER'!U21</f>
        <v>0</v>
      </c>
      <c r="V21" s="665"/>
      <c r="W21" s="646">
        <f>'F2 Weiterführung ER'!W21</f>
        <v>0</v>
      </c>
      <c r="X21" s="647">
        <f>'F2 Weiterführung ER'!X21</f>
        <v>0</v>
      </c>
      <c r="Y21" s="648">
        <f>'F2 Weiterführung ER'!Y21+'F5b DELTA ER'!Y21</f>
        <v>0</v>
      </c>
      <c r="Z21" s="649">
        <f>'F2 Weiterführung ER'!Z21+'F5b DELTA ER'!Z21</f>
        <v>0</v>
      </c>
      <c r="AA21" s="649">
        <f>'F2 Weiterführung ER'!AA21+'F5b DELTA ER'!AA21</f>
        <v>0</v>
      </c>
      <c r="AB21" s="649">
        <f>'F2 Weiterführung ER'!AB21+'F5b DELTA ER'!AB21</f>
        <v>0</v>
      </c>
      <c r="AC21" s="595">
        <f>'F2 Weiterführung ER'!AC21+'F5b DELTA ER'!AC21</f>
        <v>0</v>
      </c>
      <c r="AD21" s="665"/>
      <c r="AE21" s="646">
        <f>'F2 Weiterführung ER'!AE21</f>
        <v>0</v>
      </c>
      <c r="AF21" s="647">
        <f>'F2 Weiterführung ER'!AF21</f>
        <v>0</v>
      </c>
      <c r="AG21" s="648">
        <f>'F2 Weiterführung ER'!AG21+'F5b DELTA ER'!AG21</f>
        <v>0</v>
      </c>
      <c r="AH21" s="649">
        <f>'F2 Weiterführung ER'!AH21+'F5b DELTA ER'!AH21</f>
        <v>0</v>
      </c>
      <c r="AI21" s="649">
        <f>'F2 Weiterführung ER'!AI21+'F5b DELTA ER'!AI21</f>
        <v>0</v>
      </c>
      <c r="AJ21" s="649">
        <f>'F2 Weiterführung ER'!AJ21+'F5b DELTA ER'!AJ21</f>
        <v>0</v>
      </c>
      <c r="AK21" s="595">
        <f>'F2 Weiterführung ER'!AK21+'F5b DELTA ER'!AK21</f>
        <v>0</v>
      </c>
      <c r="AL21" s="665"/>
      <c r="AM21" s="646">
        <f>'F2 Weiterführung ER'!AM21</f>
        <v>0</v>
      </c>
      <c r="AN21" s="647">
        <f>'F2 Weiterführung ER'!AN21</f>
        <v>0</v>
      </c>
      <c r="AO21" s="648">
        <f>'F2 Weiterführung ER'!AO21+'F5b DELTA ER'!AO21</f>
        <v>0</v>
      </c>
      <c r="AP21" s="649">
        <f>'F2 Weiterführung ER'!AP21+'F5b DELTA ER'!AP21</f>
        <v>0</v>
      </c>
      <c r="AQ21" s="649">
        <f>'F2 Weiterführung ER'!AQ21+'F5b DELTA ER'!AQ21</f>
        <v>0</v>
      </c>
      <c r="AR21" s="649">
        <f>'F2 Weiterführung ER'!AR21+'F5b DELTA ER'!AR21</f>
        <v>0</v>
      </c>
      <c r="AS21" s="595">
        <f>'F2 Weiterführung ER'!AS21+'F5b DELTA ER'!AS21</f>
        <v>0</v>
      </c>
      <c r="AT21" s="665"/>
      <c r="AU21" s="646">
        <f>'F2 Weiterführung ER'!AU21</f>
        <v>0</v>
      </c>
      <c r="AV21" s="647">
        <f>'F2 Weiterführung ER'!AV21</f>
        <v>0</v>
      </c>
      <c r="AW21" s="648">
        <f>'F2 Weiterführung ER'!AW21+'F5b DELTA ER'!AW21</f>
        <v>0</v>
      </c>
      <c r="AX21" s="649">
        <f>'F2 Weiterführung ER'!AX21+'F5b DELTA ER'!AX21</f>
        <v>0</v>
      </c>
      <c r="AY21" s="649">
        <f>'F2 Weiterführung ER'!AY21+'F5b DELTA ER'!AY21</f>
        <v>0</v>
      </c>
      <c r="AZ21" s="649">
        <f>'F2 Weiterführung ER'!AZ21+'F5b DELTA ER'!AZ21</f>
        <v>0</v>
      </c>
      <c r="BA21" s="595">
        <f>'F2 Weiterführung ER'!BA21+'F5b DELTA ER'!BA21</f>
        <v>0</v>
      </c>
      <c r="BB21" s="665"/>
      <c r="BC21" s="646">
        <f>'F2 Weiterführung ER'!BC21</f>
        <v>0</v>
      </c>
      <c r="BD21" s="647">
        <f>'F2 Weiterführung ER'!BD21</f>
        <v>1</v>
      </c>
      <c r="BE21" s="648">
        <f>'F2 Weiterführung ER'!BE21+'F5b DELTA ER'!BE21</f>
        <v>0</v>
      </c>
      <c r="BF21" s="649">
        <f>'F2 Weiterführung ER'!BF21+'F5b DELTA ER'!BF21</f>
        <v>0</v>
      </c>
      <c r="BG21" s="649">
        <f>'F2 Weiterführung ER'!BG21+'F5b DELTA ER'!BG21</f>
        <v>0</v>
      </c>
      <c r="BH21" s="649">
        <f>'F2 Weiterführung ER'!BH21+'F5b DELTA ER'!BH21</f>
        <v>0</v>
      </c>
      <c r="BI21" s="595">
        <f>'F2 Weiterführung ER'!BI21+'F5b DELTA ER'!BI21</f>
        <v>0</v>
      </c>
      <c r="BJ21" s="665"/>
    </row>
    <row r="22" spans="2:62" s="682" customFormat="1" ht="11.1" customHeight="1">
      <c r="B22" s="677">
        <v>35</v>
      </c>
      <c r="C22" s="678"/>
      <c r="D22" s="1471" t="s">
        <v>178</v>
      </c>
      <c r="E22" s="1471"/>
      <c r="F22" s="1472"/>
      <c r="G22" s="679">
        <f>'F2 Weiterführung ER'!G22</f>
        <v>1</v>
      </c>
      <c r="H22" s="680">
        <f>'F2 Weiterführung ER'!H22</f>
        <v>0</v>
      </c>
      <c r="I22" s="592">
        <f>SUM(I23:I26)</f>
        <v>0</v>
      </c>
      <c r="J22" s="593">
        <f t="shared" ref="J22:M22" si="8">SUM(J23:J26)</f>
        <v>0</v>
      </c>
      <c r="K22" s="593">
        <f t="shared" si="8"/>
        <v>0</v>
      </c>
      <c r="L22" s="593">
        <f t="shared" si="8"/>
        <v>0</v>
      </c>
      <c r="M22" s="594">
        <f t="shared" si="8"/>
        <v>0</v>
      </c>
      <c r="N22" s="602" t="str">
        <f t="shared" si="7"/>
        <v/>
      </c>
      <c r="O22" s="679">
        <f>'F2 Weiterführung ER'!O22</f>
        <v>0</v>
      </c>
      <c r="P22" s="680">
        <f>'F2 Weiterführung ER'!P22</f>
        <v>0</v>
      </c>
      <c r="Q22" s="422">
        <f>SUM(Q23:Q26)</f>
        <v>0</v>
      </c>
      <c r="R22" s="420">
        <f t="shared" ref="R22" si="9">SUM(R23:R26)</f>
        <v>0</v>
      </c>
      <c r="S22" s="420">
        <f t="shared" ref="S22" si="10">SUM(S23:S26)</f>
        <v>0</v>
      </c>
      <c r="T22" s="420">
        <f t="shared" ref="T22" si="11">SUM(T23:T26)</f>
        <v>0</v>
      </c>
      <c r="U22" s="423">
        <f t="shared" ref="U22" si="12">SUM(U23:U26)</f>
        <v>0</v>
      </c>
      <c r="W22" s="679">
        <f>'F2 Weiterführung ER'!W22</f>
        <v>0</v>
      </c>
      <c r="X22" s="680">
        <f>'F2 Weiterführung ER'!X22</f>
        <v>0</v>
      </c>
      <c r="Y22" s="422">
        <f>SUM(Y23:Y26)</f>
        <v>0</v>
      </c>
      <c r="Z22" s="420">
        <f t="shared" ref="Z22" si="13">SUM(Z23:Z26)</f>
        <v>0</v>
      </c>
      <c r="AA22" s="420">
        <f t="shared" ref="AA22" si="14">SUM(AA23:AA26)</f>
        <v>0</v>
      </c>
      <c r="AB22" s="420">
        <f t="shared" ref="AB22" si="15">SUM(AB23:AB26)</f>
        <v>0</v>
      </c>
      <c r="AC22" s="423">
        <f t="shared" ref="AC22" si="16">SUM(AC23:AC26)</f>
        <v>0</v>
      </c>
      <c r="AE22" s="679">
        <f>'F2 Weiterführung ER'!AE22</f>
        <v>0</v>
      </c>
      <c r="AF22" s="680">
        <f>'F2 Weiterführung ER'!AF22</f>
        <v>0</v>
      </c>
      <c r="AG22" s="422">
        <f>SUM(AG23:AG26)</f>
        <v>0</v>
      </c>
      <c r="AH22" s="420">
        <f t="shared" ref="AH22" si="17">SUM(AH23:AH26)</f>
        <v>0</v>
      </c>
      <c r="AI22" s="420">
        <f t="shared" ref="AI22" si="18">SUM(AI23:AI26)</f>
        <v>0</v>
      </c>
      <c r="AJ22" s="420">
        <f t="shared" ref="AJ22" si="19">SUM(AJ23:AJ26)</f>
        <v>0</v>
      </c>
      <c r="AK22" s="423">
        <f t="shared" ref="AK22" si="20">SUM(AK23:AK26)</f>
        <v>0</v>
      </c>
      <c r="AM22" s="679">
        <f>'F2 Weiterführung ER'!AM22</f>
        <v>0</v>
      </c>
      <c r="AN22" s="680">
        <f>'F2 Weiterführung ER'!AN22</f>
        <v>0</v>
      </c>
      <c r="AO22" s="422">
        <f>SUM(AO23:AO26)</f>
        <v>0</v>
      </c>
      <c r="AP22" s="420">
        <f t="shared" ref="AP22" si="21">SUM(AP23:AP26)</f>
        <v>0</v>
      </c>
      <c r="AQ22" s="420">
        <f t="shared" ref="AQ22" si="22">SUM(AQ23:AQ26)</f>
        <v>0</v>
      </c>
      <c r="AR22" s="420">
        <f t="shared" ref="AR22" si="23">SUM(AR23:AR26)</f>
        <v>0</v>
      </c>
      <c r="AS22" s="423">
        <f t="shared" ref="AS22" si="24">SUM(AS23:AS26)</f>
        <v>0</v>
      </c>
      <c r="AU22" s="679">
        <f>'F2 Weiterführung ER'!AU22</f>
        <v>1</v>
      </c>
      <c r="AV22" s="680">
        <f>'F2 Weiterführung ER'!AV22</f>
        <v>0</v>
      </c>
      <c r="AW22" s="422">
        <f>SUM(AW23:AW26)</f>
        <v>0</v>
      </c>
      <c r="AX22" s="420">
        <f t="shared" ref="AX22" si="25">SUM(AX23:AX26)</f>
        <v>0</v>
      </c>
      <c r="AY22" s="420">
        <f t="shared" ref="AY22" si="26">SUM(AY23:AY26)</f>
        <v>0</v>
      </c>
      <c r="AZ22" s="420">
        <f t="shared" ref="AZ22" si="27">SUM(AZ23:AZ26)</f>
        <v>0</v>
      </c>
      <c r="BA22" s="423">
        <f t="shared" ref="BA22" si="28">SUM(BA23:BA26)</f>
        <v>0</v>
      </c>
      <c r="BC22" s="679">
        <f>'F2 Weiterführung ER'!BC22</f>
        <v>0</v>
      </c>
      <c r="BD22" s="680">
        <f>'F2 Weiterführung ER'!BD22</f>
        <v>0</v>
      </c>
      <c r="BE22" s="422">
        <f>SUM(BE23:BE26)</f>
        <v>0</v>
      </c>
      <c r="BF22" s="420">
        <f t="shared" ref="BF22" si="29">SUM(BF23:BF26)</f>
        <v>0</v>
      </c>
      <c r="BG22" s="420">
        <f t="shared" ref="BG22" si="30">SUM(BG23:BG26)</f>
        <v>0</v>
      </c>
      <c r="BH22" s="420">
        <f t="shared" ref="BH22" si="31">SUM(BH23:BH26)</f>
        <v>0</v>
      </c>
      <c r="BI22" s="423">
        <f t="shared" ref="BI22" si="32">SUM(BI23:BI26)</f>
        <v>0</v>
      </c>
    </row>
    <row r="23" spans="2:62" s="660" customFormat="1" ht="11.1" customHeight="1">
      <c r="B23" s="661"/>
      <c r="C23" s="699">
        <v>350</v>
      </c>
      <c r="D23" s="700" t="s">
        <v>199</v>
      </c>
      <c r="E23" s="700"/>
      <c r="F23" s="692"/>
      <c r="G23" s="646">
        <f>'F2 Weiterführung ER'!G23</f>
        <v>0</v>
      </c>
      <c r="H23" s="647">
        <f>'F2 Weiterführung ER'!H23</f>
        <v>0</v>
      </c>
      <c r="I23" s="648">
        <f>SUMIFS(O23:PN23,$O$11:$PN$11,I$11)</f>
        <v>0</v>
      </c>
      <c r="J23" s="649">
        <f>SUMIFS(O23:PN23,$O$11:$PN$11,J$11)</f>
        <v>0</v>
      </c>
      <c r="K23" s="649">
        <f>SUMIFS(O23:PN23,$O$11:$PN$11,K$11)</f>
        <v>0</v>
      </c>
      <c r="L23" s="649">
        <f>SUMIFS(O23:PN23,$O$11:$PN$11,L$11)</f>
        <v>0</v>
      </c>
      <c r="M23" s="595">
        <f>SUMIFS(O23:PN23,$O$11:$PN$11,M$11)</f>
        <v>0</v>
      </c>
      <c r="N23" s="602" t="str">
        <f t="shared" si="7"/>
        <v/>
      </c>
      <c r="O23" s="646">
        <f>'F2 Weiterführung ER'!O23</f>
        <v>0</v>
      </c>
      <c r="P23" s="647">
        <f>'F2 Weiterführung ER'!P23</f>
        <v>0</v>
      </c>
      <c r="Q23" s="1093"/>
      <c r="R23" s="1003"/>
      <c r="S23" s="1003"/>
      <c r="T23" s="1003"/>
      <c r="U23" s="999"/>
      <c r="V23" s="665"/>
      <c r="W23" s="646">
        <f>'F2 Weiterführung ER'!W23</f>
        <v>0</v>
      </c>
      <c r="X23" s="647">
        <f>'F2 Weiterführung ER'!X23</f>
        <v>0</v>
      </c>
      <c r="Y23" s="1093"/>
      <c r="Z23" s="1003"/>
      <c r="AA23" s="1003"/>
      <c r="AB23" s="1003"/>
      <c r="AC23" s="999"/>
      <c r="AD23" s="665"/>
      <c r="AE23" s="646">
        <f>'F2 Weiterführung ER'!AE23</f>
        <v>0</v>
      </c>
      <c r="AF23" s="647">
        <f>'F2 Weiterführung ER'!AF23</f>
        <v>0</v>
      </c>
      <c r="AG23" s="1093"/>
      <c r="AH23" s="1003"/>
      <c r="AI23" s="1003"/>
      <c r="AJ23" s="1003"/>
      <c r="AK23" s="999"/>
      <c r="AL23" s="665"/>
      <c r="AM23" s="646">
        <f>'F2 Weiterführung ER'!AM23</f>
        <v>0</v>
      </c>
      <c r="AN23" s="647">
        <f>'F2 Weiterführung ER'!AN23</f>
        <v>0</v>
      </c>
      <c r="AO23" s="1093"/>
      <c r="AP23" s="1003"/>
      <c r="AQ23" s="1003"/>
      <c r="AR23" s="1003"/>
      <c r="AS23" s="999"/>
      <c r="AT23" s="665"/>
      <c r="AU23" s="646">
        <f>'F2 Weiterführung ER'!AU23</f>
        <v>0</v>
      </c>
      <c r="AV23" s="647">
        <f>'F2 Weiterführung ER'!AV23</f>
        <v>0</v>
      </c>
      <c r="AW23" s="1093"/>
      <c r="AX23" s="1003"/>
      <c r="AY23" s="1003"/>
      <c r="AZ23" s="1003"/>
      <c r="BA23" s="999"/>
      <c r="BB23" s="665"/>
      <c r="BC23" s="646">
        <f>'F2 Weiterführung ER'!BC23</f>
        <v>0</v>
      </c>
      <c r="BD23" s="647">
        <f>'F2 Weiterführung ER'!BD23</f>
        <v>0</v>
      </c>
      <c r="BE23" s="1093"/>
      <c r="BF23" s="1003"/>
      <c r="BG23" s="1003"/>
      <c r="BH23" s="1003"/>
      <c r="BI23" s="999"/>
      <c r="BJ23" s="665"/>
    </row>
    <row r="24" spans="2:62" s="660" customFormat="1" ht="11.1" customHeight="1">
      <c r="B24" s="661"/>
      <c r="C24" s="699">
        <v>3510</v>
      </c>
      <c r="D24" s="700" t="s">
        <v>204</v>
      </c>
      <c r="E24" s="700"/>
      <c r="F24" s="692"/>
      <c r="G24" s="646">
        <f>'F2 Weiterführung ER'!G24</f>
        <v>1</v>
      </c>
      <c r="H24" s="647">
        <f>'F2 Weiterführung ER'!H24</f>
        <v>0</v>
      </c>
      <c r="I24" s="648">
        <f>SUMIFS(O24:PN24,$O$11:$PN$11,I$11)</f>
        <v>0</v>
      </c>
      <c r="J24" s="649">
        <f>SUMIFS(O24:PN24,$O$11:$PN$11,J$11)</f>
        <v>0</v>
      </c>
      <c r="K24" s="649">
        <f>SUMIFS(O24:PN24,$O$11:$PN$11,K$11)</f>
        <v>0</v>
      </c>
      <c r="L24" s="649">
        <f>SUMIFS(O24:PN24,$O$11:$PN$11,L$11)</f>
        <v>0</v>
      </c>
      <c r="M24" s="595">
        <f>SUMIFS(O24:PN24,$O$11:$PN$11,M$11)</f>
        <v>0</v>
      </c>
      <c r="N24" s="602" t="str">
        <f t="shared" si="7"/>
        <v/>
      </c>
      <c r="O24" s="646">
        <f>'F2 Weiterführung ER'!O24</f>
        <v>0</v>
      </c>
      <c r="P24" s="647">
        <f>'F2 Weiterführung ER'!P24</f>
        <v>0</v>
      </c>
      <c r="Q24" s="1093"/>
      <c r="R24" s="1003"/>
      <c r="S24" s="1003"/>
      <c r="T24" s="1003"/>
      <c r="U24" s="999"/>
      <c r="V24" s="665"/>
      <c r="W24" s="646">
        <f>'F2 Weiterführung ER'!W24</f>
        <v>0</v>
      </c>
      <c r="X24" s="647">
        <f>'F2 Weiterführung ER'!X24</f>
        <v>0</v>
      </c>
      <c r="Y24" s="1093"/>
      <c r="Z24" s="1003"/>
      <c r="AA24" s="1003"/>
      <c r="AB24" s="1003"/>
      <c r="AC24" s="999"/>
      <c r="AD24" s="665"/>
      <c r="AE24" s="646">
        <f>'F2 Weiterführung ER'!AE24</f>
        <v>0</v>
      </c>
      <c r="AF24" s="647">
        <f>'F2 Weiterführung ER'!AF24</f>
        <v>0</v>
      </c>
      <c r="AG24" s="1093"/>
      <c r="AH24" s="1003"/>
      <c r="AI24" s="1003"/>
      <c r="AJ24" s="1003"/>
      <c r="AK24" s="999"/>
      <c r="AL24" s="665"/>
      <c r="AM24" s="646">
        <f>'F2 Weiterführung ER'!AM24</f>
        <v>0</v>
      </c>
      <c r="AN24" s="647">
        <f>'F2 Weiterführung ER'!AN24</f>
        <v>0</v>
      </c>
      <c r="AO24" s="1093"/>
      <c r="AP24" s="1003"/>
      <c r="AQ24" s="1003"/>
      <c r="AR24" s="1003"/>
      <c r="AS24" s="999"/>
      <c r="AT24" s="665"/>
      <c r="AU24" s="646">
        <f>'F2 Weiterführung ER'!AU24</f>
        <v>1</v>
      </c>
      <c r="AV24" s="647">
        <f>'F2 Weiterführung ER'!AV24</f>
        <v>0</v>
      </c>
      <c r="AW24" s="1093"/>
      <c r="AX24" s="1003"/>
      <c r="AY24" s="1003"/>
      <c r="AZ24" s="1003"/>
      <c r="BA24" s="999"/>
      <c r="BB24" s="665"/>
      <c r="BC24" s="646">
        <f>'F2 Weiterführung ER'!BC24</f>
        <v>0</v>
      </c>
      <c r="BD24" s="647">
        <f>'F2 Weiterführung ER'!BD24</f>
        <v>0</v>
      </c>
      <c r="BE24" s="1093"/>
      <c r="BF24" s="1003"/>
      <c r="BG24" s="1003"/>
      <c r="BH24" s="1003"/>
      <c r="BI24" s="999"/>
      <c r="BJ24" s="665"/>
    </row>
    <row r="25" spans="2:62" s="660" customFormat="1" ht="11.1" customHeight="1">
      <c r="B25" s="661"/>
      <c r="C25" s="699">
        <v>3511</v>
      </c>
      <c r="D25" s="700" t="s">
        <v>205</v>
      </c>
      <c r="E25" s="700"/>
      <c r="F25" s="932"/>
      <c r="G25" s="646">
        <f>'F2 Weiterführung ER'!G25</f>
        <v>0</v>
      </c>
      <c r="H25" s="647">
        <f>'F2 Weiterführung ER'!H25</f>
        <v>0</v>
      </c>
      <c r="I25" s="648">
        <f>SUMIFS(O25:PN25,$O$11:$PN$11,I$11)</f>
        <v>0</v>
      </c>
      <c r="J25" s="649">
        <f>SUMIFS(O25:PN25,$O$11:$PN$11,J$11)</f>
        <v>0</v>
      </c>
      <c r="K25" s="649">
        <f>SUMIFS(O25:PN25,$O$11:$PN$11,K$11)</f>
        <v>0</v>
      </c>
      <c r="L25" s="649">
        <f>SUMIFS(O25:PN25,$O$11:$PN$11,L$11)</f>
        <v>0</v>
      </c>
      <c r="M25" s="595">
        <f>SUMIFS(O25:PN25,$O$11:$PN$11,M$11)</f>
        <v>0</v>
      </c>
      <c r="N25" s="602" t="str">
        <f t="shared" si="7"/>
        <v/>
      </c>
      <c r="O25" s="646">
        <f>'F2 Weiterführung ER'!O25</f>
        <v>0</v>
      </c>
      <c r="P25" s="647">
        <f>'F2 Weiterführung ER'!P25</f>
        <v>0</v>
      </c>
      <c r="Q25" s="1093"/>
      <c r="R25" s="1003"/>
      <c r="S25" s="1003"/>
      <c r="T25" s="1003"/>
      <c r="U25" s="999"/>
      <c r="V25" s="665"/>
      <c r="W25" s="646">
        <f>'F2 Weiterführung ER'!W25</f>
        <v>0</v>
      </c>
      <c r="X25" s="647">
        <f>'F2 Weiterführung ER'!X25</f>
        <v>0</v>
      </c>
      <c r="Y25" s="1093"/>
      <c r="Z25" s="1003"/>
      <c r="AA25" s="1003"/>
      <c r="AB25" s="1003"/>
      <c r="AC25" s="999"/>
      <c r="AD25" s="665"/>
      <c r="AE25" s="646">
        <f>'F2 Weiterführung ER'!AE25</f>
        <v>0</v>
      </c>
      <c r="AF25" s="647">
        <f>'F2 Weiterführung ER'!AF25</f>
        <v>0</v>
      </c>
      <c r="AG25" s="1093"/>
      <c r="AH25" s="1003"/>
      <c r="AI25" s="1003"/>
      <c r="AJ25" s="1003"/>
      <c r="AK25" s="999"/>
      <c r="AL25" s="665"/>
      <c r="AM25" s="646">
        <f>'F2 Weiterführung ER'!AM25</f>
        <v>0</v>
      </c>
      <c r="AN25" s="647">
        <f>'F2 Weiterführung ER'!AN25</f>
        <v>0</v>
      </c>
      <c r="AO25" s="1093"/>
      <c r="AP25" s="1003"/>
      <c r="AQ25" s="1003"/>
      <c r="AR25" s="1003"/>
      <c r="AS25" s="999"/>
      <c r="AT25" s="665"/>
      <c r="AU25" s="646">
        <f>'F2 Weiterführung ER'!AU25</f>
        <v>0</v>
      </c>
      <c r="AV25" s="647">
        <f>'F2 Weiterführung ER'!AV25</f>
        <v>0</v>
      </c>
      <c r="AW25" s="1093"/>
      <c r="AX25" s="1003"/>
      <c r="AY25" s="1003"/>
      <c r="AZ25" s="1003"/>
      <c r="BA25" s="999"/>
      <c r="BB25" s="665"/>
      <c r="BC25" s="646">
        <f>'F2 Weiterführung ER'!BC25</f>
        <v>0</v>
      </c>
      <c r="BD25" s="647">
        <f>'F2 Weiterführung ER'!BD25</f>
        <v>0</v>
      </c>
      <c r="BE25" s="1093"/>
      <c r="BF25" s="1003"/>
      <c r="BG25" s="1003"/>
      <c r="BH25" s="1003"/>
      <c r="BI25" s="999"/>
      <c r="BJ25" s="665"/>
    </row>
    <row r="26" spans="2:62" s="660" customFormat="1" ht="11.1" customHeight="1">
      <c r="B26" s="661"/>
      <c r="C26" s="699">
        <v>3512</v>
      </c>
      <c r="D26" s="700" t="s">
        <v>292</v>
      </c>
      <c r="E26" s="700"/>
      <c r="F26" s="692"/>
      <c r="G26" s="646">
        <f>'F2 Weiterführung ER'!G26</f>
        <v>0</v>
      </c>
      <c r="H26" s="647">
        <f>'F2 Weiterführung ER'!H26</f>
        <v>0</v>
      </c>
      <c r="I26" s="648">
        <f>SUMIFS(O26:PN26,$O$11:$PN$11,I$11)</f>
        <v>0</v>
      </c>
      <c r="J26" s="649">
        <f>SUMIFS(O26:PN26,$O$11:$PN$11,J$11)</f>
        <v>0</v>
      </c>
      <c r="K26" s="649">
        <f>SUMIFS(O26:PN26,$O$11:$PN$11,K$11)</f>
        <v>0</v>
      </c>
      <c r="L26" s="649">
        <f>SUMIFS(O26:PN26,$O$11:$PN$11,L$11)</f>
        <v>0</v>
      </c>
      <c r="M26" s="595">
        <f>SUMIFS(O26:PN26,$O$11:$PN$11,M$11)</f>
        <v>0</v>
      </c>
      <c r="N26" s="602" t="str">
        <f t="shared" si="7"/>
        <v/>
      </c>
      <c r="O26" s="646">
        <f>'F2 Weiterführung ER'!O26</f>
        <v>0</v>
      </c>
      <c r="P26" s="647">
        <f>'F2 Weiterführung ER'!P26</f>
        <v>0</v>
      </c>
      <c r="Q26" s="1093"/>
      <c r="R26" s="1003"/>
      <c r="S26" s="1003"/>
      <c r="T26" s="1003"/>
      <c r="U26" s="999"/>
      <c r="V26" s="665"/>
      <c r="W26" s="646">
        <f>'F2 Weiterführung ER'!W26</f>
        <v>0</v>
      </c>
      <c r="X26" s="647">
        <f>'F2 Weiterführung ER'!X26</f>
        <v>0</v>
      </c>
      <c r="Y26" s="1093"/>
      <c r="Z26" s="1003"/>
      <c r="AA26" s="1003"/>
      <c r="AB26" s="1003"/>
      <c r="AC26" s="999"/>
      <c r="AD26" s="665"/>
      <c r="AE26" s="646">
        <f>'F2 Weiterführung ER'!AE26</f>
        <v>0</v>
      </c>
      <c r="AF26" s="647">
        <f>'F2 Weiterführung ER'!AF26</f>
        <v>0</v>
      </c>
      <c r="AG26" s="1093"/>
      <c r="AH26" s="1003"/>
      <c r="AI26" s="1003"/>
      <c r="AJ26" s="1003"/>
      <c r="AK26" s="999"/>
      <c r="AL26" s="665"/>
      <c r="AM26" s="646">
        <f>'F2 Weiterführung ER'!AM26</f>
        <v>0</v>
      </c>
      <c r="AN26" s="647">
        <f>'F2 Weiterführung ER'!AN26</f>
        <v>0</v>
      </c>
      <c r="AO26" s="1093"/>
      <c r="AP26" s="1003"/>
      <c r="AQ26" s="1003"/>
      <c r="AR26" s="1003"/>
      <c r="AS26" s="999"/>
      <c r="AT26" s="665"/>
      <c r="AU26" s="646">
        <f>'F2 Weiterführung ER'!AU26</f>
        <v>0</v>
      </c>
      <c r="AV26" s="647">
        <f>'F2 Weiterführung ER'!AV26</f>
        <v>0</v>
      </c>
      <c r="AW26" s="1093"/>
      <c r="AX26" s="1003"/>
      <c r="AY26" s="1003"/>
      <c r="AZ26" s="1003"/>
      <c r="BA26" s="999"/>
      <c r="BB26" s="665"/>
      <c r="BC26" s="646">
        <f>'F2 Weiterführung ER'!BC26</f>
        <v>0</v>
      </c>
      <c r="BD26" s="647">
        <f>'F2 Weiterführung ER'!BD26</f>
        <v>0</v>
      </c>
      <c r="BE26" s="1093"/>
      <c r="BF26" s="1003"/>
      <c r="BG26" s="1003"/>
      <c r="BH26" s="1003"/>
      <c r="BI26" s="999"/>
      <c r="BJ26" s="665"/>
    </row>
    <row r="27" spans="2:62" s="660" customFormat="1" ht="11.1" customHeight="1">
      <c r="B27" s="661">
        <v>36</v>
      </c>
      <c r="C27" s="667"/>
      <c r="D27" s="1428" t="s">
        <v>88</v>
      </c>
      <c r="E27" s="1428"/>
      <c r="F27" s="1429"/>
      <c r="G27" s="679">
        <f>'F2 Weiterführung ER'!G27</f>
        <v>5916</v>
      </c>
      <c r="H27" s="680">
        <f>'F2 Weiterführung ER'!H27</f>
        <v>5988</v>
      </c>
      <c r="I27" s="592">
        <f>'F2 Weiterführung ER'!I27+'F5b DELTA ER'!I27+'F5b DELTA ER'!I28++'F5b DELTA ER'!I29</f>
        <v>6017.6649999999991</v>
      </c>
      <c r="J27" s="593">
        <f>'F2 Weiterführung ER'!J27+'F5b DELTA ER'!J27+'F5b DELTA ER'!J28++'F5b DELTA ER'!J29</f>
        <v>6021.4783249999982</v>
      </c>
      <c r="K27" s="593">
        <f>'F2 Weiterführung ER'!K27+'F5b DELTA ER'!K27+'F5b DELTA ER'!K28+'F5b DELTA ER'!K29</f>
        <v>6051.4407166249975</v>
      </c>
      <c r="L27" s="593">
        <f>'F2 Weiterführung ER'!L27+'F5b DELTA ER'!L27+'F5b DELTA ER'!L28+'F5b DELTA ER'!L29</f>
        <v>6081.5529202081216</v>
      </c>
      <c r="M27" s="594">
        <f>'F2 Weiterführung ER'!M27+'F5b DELTA ER'!M27+'F5b DELTA ER'!M28+'F5b DELTA ER'!M29</f>
        <v>6056.8156848091612</v>
      </c>
      <c r="N27" s="602" t="str">
        <f t="shared" si="7"/>
        <v/>
      </c>
      <c r="O27" s="679">
        <f>'F2 Weiterführung ER'!O27</f>
        <v>81</v>
      </c>
      <c r="P27" s="680">
        <f>'F2 Weiterführung ER'!P27</f>
        <v>82</v>
      </c>
      <c r="Q27" s="422">
        <f>'F2 Weiterführung ER'!Q27+'F5b DELTA ER'!Q27+'F5b DELTA ER'!Q28+'F5b DELTA ER'!Q29</f>
        <v>82.41</v>
      </c>
      <c r="R27" s="420">
        <f>'F2 Weiterführung ER'!R27+'F5b DELTA ER'!R27+'F5b DELTA ER'!R28+'F5b DELTA ER'!R29</f>
        <v>69.82204999999999</v>
      </c>
      <c r="S27" s="420">
        <f>'F2 Weiterführung ER'!S27+'F5b DELTA ER'!S27+'F5b DELTA ER'!S28+'F5b DELTA ER'!S29</f>
        <v>70.236160249999983</v>
      </c>
      <c r="T27" s="420">
        <f>'F2 Weiterführung ER'!T27+'F5b DELTA ER'!T27+'F5b DELTA ER'!T28+'F5b DELTA ER'!T29</f>
        <v>70.652341051249977</v>
      </c>
      <c r="U27" s="423">
        <f>'F2 Weiterführung ER'!U27+'F5b DELTA ER'!U27+'F5b DELTA ER'!U28+'F5b DELTA ER'!U29</f>
        <v>71.070602756506219</v>
      </c>
      <c r="W27" s="679">
        <f>'F2 Weiterführung ER'!W27</f>
        <v>973</v>
      </c>
      <c r="X27" s="680">
        <f>'F2 Weiterführung ER'!X27</f>
        <v>962</v>
      </c>
      <c r="Y27" s="422">
        <f>'F2 Weiterführung ER'!Y27+'F5b DELTA ER'!Y27+'F5b DELTA ER'!Y28+'F5b DELTA ER'!Y29</f>
        <v>966.81</v>
      </c>
      <c r="Z27" s="420">
        <f>'F2 Weiterführung ER'!Z27+'F5b DELTA ER'!Z27+'F5b DELTA ER'!Z28+'F5b DELTA ER'!Z29</f>
        <v>971.64404999999988</v>
      </c>
      <c r="AA27" s="420">
        <f>'F2 Weiterführung ER'!AA27+'F5b DELTA ER'!AA27+'F5b DELTA ER'!AA28+'F5b DELTA ER'!AA29</f>
        <v>976.50227024999981</v>
      </c>
      <c r="AB27" s="420">
        <f>'F2 Weiterführung ER'!AB27+'F5b DELTA ER'!AB27+'F5b DELTA ER'!AB28+'F5b DELTA ER'!AB29</f>
        <v>981.38478160124976</v>
      </c>
      <c r="AC27" s="423">
        <f>'F2 Weiterführung ER'!AC27+'F5b DELTA ER'!AC27+'F5b DELTA ER'!AC28+'F5b DELTA ER'!AC29</f>
        <v>986.29170550925585</v>
      </c>
      <c r="AE27" s="679">
        <f>'F2 Weiterführung ER'!AE27</f>
        <v>38</v>
      </c>
      <c r="AF27" s="680">
        <f>'F2 Weiterführung ER'!AF27</f>
        <v>46</v>
      </c>
      <c r="AG27" s="422">
        <f>'F2 Weiterführung ER'!AG27+'F5b DELTA ER'!AG27+'F5b DELTA ER'!AG28+'F5b DELTA ER'!AG29</f>
        <v>46.23</v>
      </c>
      <c r="AH27" s="420">
        <f>'F2 Weiterführung ER'!AH27+'F5b DELTA ER'!AH27+'F5b DELTA ER'!AH28+'F5b DELTA ER'!AH29</f>
        <v>46.461149999999989</v>
      </c>
      <c r="AI27" s="420">
        <f>'F2 Weiterführung ER'!AI27+'F5b DELTA ER'!AI27+'F5b DELTA ER'!AI28+'F5b DELTA ER'!AI29</f>
        <v>46.693455749999984</v>
      </c>
      <c r="AJ27" s="420">
        <f>'F2 Weiterführung ER'!AJ27+'F5b DELTA ER'!AJ27+'F5b DELTA ER'!AJ28+'F5b DELTA ER'!AJ29</f>
        <v>46.926923028749982</v>
      </c>
      <c r="AK27" s="423">
        <f>'F2 Weiterführung ER'!AK27+'F5b DELTA ER'!AK27+'F5b DELTA ER'!AK28+'F5b DELTA ER'!AK29</f>
        <v>47.16155764389373</v>
      </c>
      <c r="AM27" s="679">
        <f>'F2 Weiterführung ER'!AM27</f>
        <v>4165</v>
      </c>
      <c r="AN27" s="680">
        <f>'F2 Weiterführung ER'!AN27</f>
        <v>4225</v>
      </c>
      <c r="AO27" s="422">
        <f>'F2 Weiterführung ER'!AO27+'F5b DELTA ER'!AO27+'F5b DELTA ER'!AO28+'F5b DELTA ER'!AO29</f>
        <v>4246.125</v>
      </c>
      <c r="AP27" s="420">
        <f>'F2 Weiterführung ER'!AP27+'F5b DELTA ER'!AP27+'F5b DELTA ER'!AP28+'F5b DELTA ER'!AP29</f>
        <v>4254.3556249999992</v>
      </c>
      <c r="AQ27" s="420">
        <f>'F2 Weiterführung ER'!AQ27+'F5b DELTA ER'!AQ27+'F5b DELTA ER'!AQ28+'F5b DELTA ER'!AQ29</f>
        <v>4275.6924031249991</v>
      </c>
      <c r="AR27" s="420">
        <f>'F2 Weiterführung ER'!AR27+'F5b DELTA ER'!AR27+'F5b DELTA ER'!AR28+'F5b DELTA ER'!AR29</f>
        <v>4297.1358651406235</v>
      </c>
      <c r="AS27" s="423">
        <f>'F2 Weiterführung ER'!AS27+'F5b DELTA ER'!AS27+'F5b DELTA ER'!AS28+'F5b DELTA ER'!AS29</f>
        <v>4318.6865444663263</v>
      </c>
      <c r="AU27" s="679">
        <f>'F2 Weiterführung ER'!AU27</f>
        <v>604</v>
      </c>
      <c r="AV27" s="680">
        <f>'F2 Weiterführung ER'!AV27</f>
        <v>618</v>
      </c>
      <c r="AW27" s="422">
        <f>'F2 Weiterführung ER'!AW27+'F5b DELTA ER'!AW27+'F5b DELTA ER'!AW28+'F5b DELTA ER'!AW29</f>
        <v>621.08999999999992</v>
      </c>
      <c r="AX27" s="420">
        <f>'F2 Weiterführung ER'!AX27+'F5b DELTA ER'!AX27+'F5b DELTA ER'!AX28+'F5b DELTA ER'!AX29</f>
        <v>624.19544999999982</v>
      </c>
      <c r="AY27" s="420">
        <f>'F2 Weiterführung ER'!AY27+'F5b DELTA ER'!AY27+'F5b DELTA ER'!AY28+'F5b DELTA ER'!AY29</f>
        <v>627.31642724999972</v>
      </c>
      <c r="AZ27" s="420">
        <f>'F2 Weiterführung ER'!AZ27+'F5b DELTA ER'!AZ27+'F5b DELTA ER'!AZ28+'F5b DELTA ER'!AZ29</f>
        <v>630.45300938624962</v>
      </c>
      <c r="BA27" s="423">
        <f>'F2 Weiterführung ER'!BA27+'F5b DELTA ER'!BA27+'F5b DELTA ER'!BA28+'F5b DELTA ER'!BA29</f>
        <v>633.60527443318085</v>
      </c>
      <c r="BC27" s="679">
        <f>'F2 Weiterführung ER'!BC27</f>
        <v>55</v>
      </c>
      <c r="BD27" s="680">
        <f>'F2 Weiterführung ER'!BD27</f>
        <v>55</v>
      </c>
      <c r="BE27" s="422">
        <f>'F2 Weiterführung ER'!BE27+'F5b DELTA ER'!BE27+'F5b DELTA ER'!BE28+'F5b DELTA ER'!BE29</f>
        <v>55</v>
      </c>
      <c r="BF27" s="420">
        <f>'F2 Weiterführung ER'!BF27+'F5b DELTA ER'!BF27+'F5b DELTA ER'!BF28+'F5b DELTA ER'!BF29</f>
        <v>55</v>
      </c>
      <c r="BG27" s="420">
        <f>'F2 Weiterführung ER'!BG27+'F5b DELTA ER'!BG27+'F5b DELTA ER'!BG28+'F5b DELTA ER'!BG29</f>
        <v>55</v>
      </c>
      <c r="BH27" s="420">
        <f>'F2 Weiterführung ER'!BH27+'F5b DELTA ER'!BH27+'F5b DELTA ER'!BH28+'F5b DELTA ER'!BH29</f>
        <v>55</v>
      </c>
      <c r="BI27" s="423">
        <f>'F2 Weiterführung ER'!BI27+'F5b DELTA ER'!BI27+'F5b DELTA ER'!BI28+'F5b DELTA ER'!BI29</f>
        <v>0</v>
      </c>
    </row>
    <row r="28" spans="2:62" s="665" customFormat="1" ht="11.1" customHeight="1">
      <c r="B28" s="676"/>
      <c r="C28" s="672">
        <v>362</v>
      </c>
      <c r="D28" s="673"/>
      <c r="E28" s="1469" t="s">
        <v>177</v>
      </c>
      <c r="F28" s="1470"/>
      <c r="G28" s="646">
        <f>'F2 Weiterführung ER'!G28</f>
        <v>55</v>
      </c>
      <c r="H28" s="647">
        <f>'F2 Weiterführung ER'!H28</f>
        <v>55</v>
      </c>
      <c r="I28" s="648">
        <f>'F2 Weiterführung ER'!I28+'F5b DELTA ER'!I28</f>
        <v>55</v>
      </c>
      <c r="J28" s="649">
        <f>'F2 Weiterführung ER'!J28+'F5b DELTA ER'!J28</f>
        <v>55</v>
      </c>
      <c r="K28" s="649">
        <f>'F2 Weiterführung ER'!K28+'F5b DELTA ER'!K28</f>
        <v>55</v>
      </c>
      <c r="L28" s="649">
        <f>'F2 Weiterführung ER'!L28+'F5b DELTA ER'!L28</f>
        <v>55</v>
      </c>
      <c r="M28" s="595">
        <f>'F2 Weiterführung ER'!M28+'F5b DELTA ER'!M28</f>
        <v>0</v>
      </c>
      <c r="N28" s="602" t="str">
        <f t="shared" si="7"/>
        <v/>
      </c>
      <c r="O28" s="646">
        <f>'F2 Weiterführung ER'!O28</f>
        <v>0</v>
      </c>
      <c r="P28" s="647">
        <f>'F2 Weiterführung ER'!P28</f>
        <v>0</v>
      </c>
      <c r="Q28" s="648">
        <f>'F2 Weiterführung ER'!Q28+'F5b DELTA ER'!Q28</f>
        <v>0</v>
      </c>
      <c r="R28" s="649">
        <f>'F2 Weiterführung ER'!R28+'F5b DELTA ER'!R28</f>
        <v>0</v>
      </c>
      <c r="S28" s="649">
        <f>'F2 Weiterführung ER'!S28+'F5b DELTA ER'!S28</f>
        <v>0</v>
      </c>
      <c r="T28" s="649">
        <f>'F2 Weiterführung ER'!T28+'F5b DELTA ER'!T28</f>
        <v>0</v>
      </c>
      <c r="U28" s="595">
        <f>'F2 Weiterführung ER'!U28+'F5b DELTA ER'!U28</f>
        <v>0</v>
      </c>
      <c r="W28" s="646">
        <f>'F2 Weiterführung ER'!W28</f>
        <v>0</v>
      </c>
      <c r="X28" s="647">
        <f>'F2 Weiterführung ER'!X28</f>
        <v>0</v>
      </c>
      <c r="Y28" s="648">
        <f>'F2 Weiterführung ER'!Y28+'F5b DELTA ER'!Y28</f>
        <v>0</v>
      </c>
      <c r="Z28" s="649">
        <f>'F2 Weiterführung ER'!Z28+'F5b DELTA ER'!Z28</f>
        <v>0</v>
      </c>
      <c r="AA28" s="649">
        <f>'F2 Weiterführung ER'!AA28+'F5b DELTA ER'!AA28</f>
        <v>0</v>
      </c>
      <c r="AB28" s="649">
        <f>'F2 Weiterführung ER'!AB28+'F5b DELTA ER'!AB28</f>
        <v>0</v>
      </c>
      <c r="AC28" s="595">
        <f>'F2 Weiterführung ER'!AC28+'F5b DELTA ER'!AC28</f>
        <v>0</v>
      </c>
      <c r="AE28" s="646">
        <f>'F2 Weiterführung ER'!AE28</f>
        <v>0</v>
      </c>
      <c r="AF28" s="647">
        <f>'F2 Weiterführung ER'!AF28</f>
        <v>0</v>
      </c>
      <c r="AG28" s="648">
        <f>'F2 Weiterführung ER'!AG28+'F5b DELTA ER'!AG28</f>
        <v>0</v>
      </c>
      <c r="AH28" s="649">
        <f>'F2 Weiterführung ER'!AH28+'F5b DELTA ER'!AH28</f>
        <v>0</v>
      </c>
      <c r="AI28" s="649">
        <f>'F2 Weiterführung ER'!AI28+'F5b DELTA ER'!AI28</f>
        <v>0</v>
      </c>
      <c r="AJ28" s="649">
        <f>'F2 Weiterführung ER'!AJ28+'F5b DELTA ER'!AJ28</f>
        <v>0</v>
      </c>
      <c r="AK28" s="595">
        <f>'F2 Weiterführung ER'!AK28+'F5b DELTA ER'!AK28</f>
        <v>0</v>
      </c>
      <c r="AM28" s="646">
        <f>'F2 Weiterführung ER'!AM28</f>
        <v>0</v>
      </c>
      <c r="AN28" s="647">
        <f>'F2 Weiterführung ER'!AN28</f>
        <v>0</v>
      </c>
      <c r="AO28" s="648">
        <f>'F2 Weiterführung ER'!AO28+'F5b DELTA ER'!AO28</f>
        <v>0</v>
      </c>
      <c r="AP28" s="649">
        <f>'F2 Weiterführung ER'!AP28+'F5b DELTA ER'!AP28</f>
        <v>0</v>
      </c>
      <c r="AQ28" s="649">
        <f>'F2 Weiterführung ER'!AQ28+'F5b DELTA ER'!AQ28</f>
        <v>0</v>
      </c>
      <c r="AR28" s="649">
        <f>'F2 Weiterführung ER'!AR28+'F5b DELTA ER'!AR28</f>
        <v>0</v>
      </c>
      <c r="AS28" s="595">
        <f>'F2 Weiterführung ER'!AS28+'F5b DELTA ER'!AS28</f>
        <v>0</v>
      </c>
      <c r="AU28" s="646">
        <f>'F2 Weiterführung ER'!AU28</f>
        <v>0</v>
      </c>
      <c r="AV28" s="647">
        <f>'F2 Weiterführung ER'!AV28</f>
        <v>0</v>
      </c>
      <c r="AW28" s="648">
        <f>'F2 Weiterführung ER'!AW28+'F5b DELTA ER'!AW28</f>
        <v>0</v>
      </c>
      <c r="AX28" s="649">
        <f>'F2 Weiterführung ER'!AX28+'F5b DELTA ER'!AX28</f>
        <v>0</v>
      </c>
      <c r="AY28" s="649">
        <f>'F2 Weiterführung ER'!AY28+'F5b DELTA ER'!AY28</f>
        <v>0</v>
      </c>
      <c r="AZ28" s="649">
        <f>'F2 Weiterführung ER'!AZ28+'F5b DELTA ER'!AZ28</f>
        <v>0</v>
      </c>
      <c r="BA28" s="595">
        <f>'F2 Weiterführung ER'!BA28+'F5b DELTA ER'!BA28</f>
        <v>0</v>
      </c>
      <c r="BC28" s="646">
        <f>'F2 Weiterführung ER'!BC28</f>
        <v>55</v>
      </c>
      <c r="BD28" s="647">
        <f>'F2 Weiterführung ER'!BD28</f>
        <v>55</v>
      </c>
      <c r="BE28" s="648">
        <f>'F2 Weiterführung ER'!BE28+'F5b DELTA ER'!BE28</f>
        <v>55</v>
      </c>
      <c r="BF28" s="649">
        <f>'F2 Weiterführung ER'!BF28+'F5b DELTA ER'!BF28</f>
        <v>55</v>
      </c>
      <c r="BG28" s="649">
        <f>'F2 Weiterführung ER'!BG28+'F5b DELTA ER'!BG28</f>
        <v>55</v>
      </c>
      <c r="BH28" s="649">
        <f>'F2 Weiterführung ER'!BH28+'F5b DELTA ER'!BH28</f>
        <v>55</v>
      </c>
      <c r="BI28" s="595">
        <f>'F2 Weiterführung ER'!BI28+'F5b DELTA ER'!BI28</f>
        <v>0</v>
      </c>
    </row>
    <row r="29" spans="2:62" s="665" customFormat="1" ht="11.1" customHeight="1">
      <c r="B29" s="676"/>
      <c r="C29" s="672">
        <v>366</v>
      </c>
      <c r="D29" s="673"/>
      <c r="E29" s="1469" t="s">
        <v>320</v>
      </c>
      <c r="F29" s="1470"/>
      <c r="G29" s="646">
        <f>'F2 Weiterführung ER'!G29</f>
        <v>0</v>
      </c>
      <c r="H29" s="647">
        <f>'F2 Weiterführung ER'!H29</f>
        <v>64</v>
      </c>
      <c r="I29" s="648">
        <f>'F2 Weiterführung ER'!I29+'F5b DELTA ER'!I29</f>
        <v>64</v>
      </c>
      <c r="J29" s="649">
        <f>'F2 Weiterführung ER'!J29+'F5b DELTA ER'!J29</f>
        <v>64</v>
      </c>
      <c r="K29" s="649">
        <f>'F2 Weiterführung ER'!K29+'F5b DELTA ER'!K29</f>
        <v>64</v>
      </c>
      <c r="L29" s="649">
        <f>'F2 Weiterführung ER'!L29+'F5b DELTA ER'!L29</f>
        <v>64</v>
      </c>
      <c r="M29" s="595">
        <f>'F2 Weiterführung ER'!M29+'F5b DELTA ER'!M29</f>
        <v>64</v>
      </c>
      <c r="N29" s="602" t="str">
        <f t="shared" si="7"/>
        <v/>
      </c>
      <c r="O29" s="646">
        <f>'F2 Weiterführung ER'!O29</f>
        <v>0</v>
      </c>
      <c r="P29" s="647">
        <f>'F2 Weiterführung ER'!P29</f>
        <v>0</v>
      </c>
      <c r="Q29" s="648">
        <f>'F2 Weiterführung ER'!Q29+'F5b DELTA ER'!Q29</f>
        <v>0</v>
      </c>
      <c r="R29" s="649">
        <f>'F2 Weiterführung ER'!R29+'F5b DELTA ER'!R29</f>
        <v>0</v>
      </c>
      <c r="S29" s="649">
        <f>'F2 Weiterführung ER'!S29+'F5b DELTA ER'!S29</f>
        <v>0</v>
      </c>
      <c r="T29" s="649">
        <f>'F2 Weiterführung ER'!T29+'F5b DELTA ER'!T29</f>
        <v>0</v>
      </c>
      <c r="U29" s="595">
        <f>'F2 Weiterführung ER'!U29+'F5b DELTA ER'!U29</f>
        <v>0</v>
      </c>
      <c r="W29" s="646">
        <f>'F2 Weiterführung ER'!W29</f>
        <v>0</v>
      </c>
      <c r="X29" s="647">
        <f>'F2 Weiterführung ER'!X29</f>
        <v>0</v>
      </c>
      <c r="Y29" s="648">
        <f>'F2 Weiterführung ER'!Y29+'F5b DELTA ER'!Y29</f>
        <v>0</v>
      </c>
      <c r="Z29" s="649">
        <f>'F2 Weiterführung ER'!Z29+'F5b DELTA ER'!Z29</f>
        <v>0</v>
      </c>
      <c r="AA29" s="649">
        <f>'F2 Weiterführung ER'!AA29+'F5b DELTA ER'!AA29</f>
        <v>0</v>
      </c>
      <c r="AB29" s="649">
        <f>'F2 Weiterführung ER'!AB29+'F5b DELTA ER'!AB29</f>
        <v>0</v>
      </c>
      <c r="AC29" s="595">
        <f>'F2 Weiterführung ER'!AC29+'F5b DELTA ER'!AC29</f>
        <v>0</v>
      </c>
      <c r="AE29" s="646">
        <f>'F2 Weiterführung ER'!AE29</f>
        <v>0</v>
      </c>
      <c r="AF29" s="647">
        <f>'F2 Weiterführung ER'!AF29</f>
        <v>0</v>
      </c>
      <c r="AG29" s="648">
        <f>'F2 Weiterführung ER'!AG29+'F5b DELTA ER'!AG29</f>
        <v>0</v>
      </c>
      <c r="AH29" s="649">
        <f>'F2 Weiterführung ER'!AH29+'F5b DELTA ER'!AH29</f>
        <v>0</v>
      </c>
      <c r="AI29" s="649">
        <f>'F2 Weiterführung ER'!AI29+'F5b DELTA ER'!AI29</f>
        <v>0</v>
      </c>
      <c r="AJ29" s="649">
        <f>'F2 Weiterführung ER'!AJ29+'F5b DELTA ER'!AJ29</f>
        <v>0</v>
      </c>
      <c r="AK29" s="595">
        <f>'F2 Weiterführung ER'!AK29+'F5b DELTA ER'!AK29</f>
        <v>0</v>
      </c>
      <c r="AM29" s="646">
        <f>'F2 Weiterführung ER'!AM29</f>
        <v>0</v>
      </c>
      <c r="AN29" s="647">
        <f>'F2 Weiterführung ER'!AN29</f>
        <v>0</v>
      </c>
      <c r="AO29" s="648">
        <f>'F2 Weiterführung ER'!AO29+'F5b DELTA ER'!AO29</f>
        <v>0</v>
      </c>
      <c r="AP29" s="649">
        <f>'F2 Weiterführung ER'!AP29+'F5b DELTA ER'!AP29</f>
        <v>0</v>
      </c>
      <c r="AQ29" s="649">
        <f>'F2 Weiterführung ER'!AQ29+'F5b DELTA ER'!AQ29</f>
        <v>0</v>
      </c>
      <c r="AR29" s="649">
        <f>'F2 Weiterführung ER'!AR29+'F5b DELTA ER'!AR29</f>
        <v>0</v>
      </c>
      <c r="AS29" s="595">
        <f>'F2 Weiterführung ER'!AS29+'F5b DELTA ER'!AS29</f>
        <v>0</v>
      </c>
      <c r="AU29" s="646">
        <f>'F2 Weiterführung ER'!AU29</f>
        <v>0</v>
      </c>
      <c r="AV29" s="647">
        <f>'F2 Weiterführung ER'!AV29</f>
        <v>64</v>
      </c>
      <c r="AW29" s="648">
        <f>'F2 Weiterführung ER'!AW29+'F5b DELTA ER'!AW29</f>
        <v>64</v>
      </c>
      <c r="AX29" s="649">
        <f>'F2 Weiterführung ER'!AX29+'F5b DELTA ER'!AX29</f>
        <v>64</v>
      </c>
      <c r="AY29" s="649">
        <f>'F2 Weiterführung ER'!AY29+'F5b DELTA ER'!AY29</f>
        <v>64</v>
      </c>
      <c r="AZ29" s="649">
        <f>'F2 Weiterführung ER'!AZ29+'F5b DELTA ER'!AZ29</f>
        <v>64</v>
      </c>
      <c r="BA29" s="595">
        <f>'F2 Weiterführung ER'!BA29+'F5b DELTA ER'!BA29</f>
        <v>64</v>
      </c>
      <c r="BC29" s="646">
        <f>'F2 Weiterführung ER'!BC29</f>
        <v>0</v>
      </c>
      <c r="BD29" s="647">
        <f>'F2 Weiterführung ER'!BD29</f>
        <v>0</v>
      </c>
      <c r="BE29" s="648">
        <f>'F2 Weiterführung ER'!BE29+'F5b DELTA ER'!BE29</f>
        <v>0</v>
      </c>
      <c r="BF29" s="649">
        <f>'F2 Weiterführung ER'!BF29+'F5b DELTA ER'!BF29</f>
        <v>0</v>
      </c>
      <c r="BG29" s="649">
        <f>'F2 Weiterführung ER'!BG29+'F5b DELTA ER'!BG29</f>
        <v>0</v>
      </c>
      <c r="BH29" s="649">
        <f>'F2 Weiterführung ER'!BH29+'F5b DELTA ER'!BH29</f>
        <v>0</v>
      </c>
      <c r="BI29" s="595">
        <f>'F2 Weiterführung ER'!BI29+'F5b DELTA ER'!BI29</f>
        <v>0</v>
      </c>
    </row>
    <row r="30" spans="2:62" ht="11.1" customHeight="1">
      <c r="B30" s="374">
        <v>37</v>
      </c>
      <c r="C30" s="383"/>
      <c r="D30" s="1412" t="s">
        <v>25</v>
      </c>
      <c r="E30" s="1412"/>
      <c r="F30" s="1413"/>
      <c r="G30" s="679">
        <f>'F2 Weiterführung ER'!G30</f>
        <v>0</v>
      </c>
      <c r="H30" s="680">
        <f>'F2 Weiterführung ER'!H30</f>
        <v>0</v>
      </c>
      <c r="I30" s="422">
        <f>'F2 Weiterführung ER'!I30+'F5b DELTA ER'!I30</f>
        <v>0</v>
      </c>
      <c r="J30" s="420">
        <f>'F2 Weiterführung ER'!J30+'F5b DELTA ER'!J30</f>
        <v>0</v>
      </c>
      <c r="K30" s="420">
        <f>'F2 Weiterführung ER'!K30+'F5b DELTA ER'!K30</f>
        <v>0</v>
      </c>
      <c r="L30" s="420">
        <f>'F2 Weiterführung ER'!L30+'F5b DELTA ER'!L30</f>
        <v>0</v>
      </c>
      <c r="M30" s="423">
        <f>'F2 Weiterführung ER'!M30+'F5b DELTA ER'!M30</f>
        <v>0</v>
      </c>
      <c r="N30" s="602" t="str">
        <f t="shared" si="7"/>
        <v/>
      </c>
      <c r="O30" s="679">
        <f>'F2 Weiterführung ER'!O30</f>
        <v>0</v>
      </c>
      <c r="P30" s="680">
        <f>'F2 Weiterführung ER'!P30</f>
        <v>0</v>
      </c>
      <c r="Q30" s="422">
        <f>'F2 Weiterführung ER'!Q30+'F5b DELTA ER'!Q30</f>
        <v>0</v>
      </c>
      <c r="R30" s="420">
        <f>'F2 Weiterführung ER'!R30+'F5b DELTA ER'!R30</f>
        <v>0</v>
      </c>
      <c r="S30" s="420">
        <f>'F2 Weiterführung ER'!S30+'F5b DELTA ER'!S30</f>
        <v>0</v>
      </c>
      <c r="T30" s="420">
        <f>'F2 Weiterführung ER'!T30+'F5b DELTA ER'!T30</f>
        <v>0</v>
      </c>
      <c r="U30" s="423">
        <f>'F2 Weiterführung ER'!U30+'F5b DELTA ER'!U30</f>
        <v>0</v>
      </c>
      <c r="W30" s="679">
        <f>'F2 Weiterführung ER'!W30</f>
        <v>0</v>
      </c>
      <c r="X30" s="680">
        <f>'F2 Weiterführung ER'!X30</f>
        <v>0</v>
      </c>
      <c r="Y30" s="422">
        <f>'F2 Weiterführung ER'!Y30+'F5b DELTA ER'!Y30</f>
        <v>0</v>
      </c>
      <c r="Z30" s="420">
        <f>'F2 Weiterführung ER'!Z30+'F5b DELTA ER'!Z30</f>
        <v>0</v>
      </c>
      <c r="AA30" s="420">
        <f>'F2 Weiterführung ER'!AA30+'F5b DELTA ER'!AA30</f>
        <v>0</v>
      </c>
      <c r="AB30" s="420">
        <f>'F2 Weiterführung ER'!AB30+'F5b DELTA ER'!AB30</f>
        <v>0</v>
      </c>
      <c r="AC30" s="423">
        <f>'F2 Weiterführung ER'!AC30+'F5b DELTA ER'!AC30</f>
        <v>0</v>
      </c>
      <c r="AE30" s="679">
        <f>'F2 Weiterführung ER'!AE30</f>
        <v>0</v>
      </c>
      <c r="AF30" s="680">
        <f>'F2 Weiterführung ER'!AF30</f>
        <v>0</v>
      </c>
      <c r="AG30" s="422">
        <f>'F2 Weiterführung ER'!AG30+'F5b DELTA ER'!AG30</f>
        <v>0</v>
      </c>
      <c r="AH30" s="420">
        <f>'F2 Weiterführung ER'!AH30+'F5b DELTA ER'!AH30</f>
        <v>0</v>
      </c>
      <c r="AI30" s="420">
        <f>'F2 Weiterführung ER'!AI30+'F5b DELTA ER'!AI30</f>
        <v>0</v>
      </c>
      <c r="AJ30" s="420">
        <f>'F2 Weiterführung ER'!AJ30+'F5b DELTA ER'!AJ30</f>
        <v>0</v>
      </c>
      <c r="AK30" s="423">
        <f>'F2 Weiterführung ER'!AK30+'F5b DELTA ER'!AK30</f>
        <v>0</v>
      </c>
      <c r="AM30" s="679">
        <f>'F2 Weiterführung ER'!AM30</f>
        <v>0</v>
      </c>
      <c r="AN30" s="680">
        <f>'F2 Weiterführung ER'!AN30</f>
        <v>0</v>
      </c>
      <c r="AO30" s="422">
        <f>'F2 Weiterführung ER'!AO30+'F5b DELTA ER'!AO30</f>
        <v>0</v>
      </c>
      <c r="AP30" s="420">
        <f>'F2 Weiterführung ER'!AP30+'F5b DELTA ER'!AP30</f>
        <v>0</v>
      </c>
      <c r="AQ30" s="420">
        <f>'F2 Weiterführung ER'!AQ30+'F5b DELTA ER'!AQ30</f>
        <v>0</v>
      </c>
      <c r="AR30" s="420">
        <f>'F2 Weiterführung ER'!AR30+'F5b DELTA ER'!AR30</f>
        <v>0</v>
      </c>
      <c r="AS30" s="423">
        <f>'F2 Weiterführung ER'!AS30+'F5b DELTA ER'!AS30</f>
        <v>0</v>
      </c>
      <c r="AU30" s="679">
        <f>'F2 Weiterführung ER'!AU30</f>
        <v>0</v>
      </c>
      <c r="AV30" s="680">
        <f>'F2 Weiterführung ER'!AV30</f>
        <v>0</v>
      </c>
      <c r="AW30" s="422">
        <f>'F2 Weiterführung ER'!AW30+'F5b DELTA ER'!AW30</f>
        <v>0</v>
      </c>
      <c r="AX30" s="420">
        <f>'F2 Weiterführung ER'!AX30+'F5b DELTA ER'!AX30</f>
        <v>0</v>
      </c>
      <c r="AY30" s="420">
        <f>'F2 Weiterführung ER'!AY30+'F5b DELTA ER'!AY30</f>
        <v>0</v>
      </c>
      <c r="AZ30" s="420">
        <f>'F2 Weiterführung ER'!AZ30+'F5b DELTA ER'!AZ30</f>
        <v>0</v>
      </c>
      <c r="BA30" s="423">
        <f>'F2 Weiterführung ER'!BA30+'F5b DELTA ER'!BA30</f>
        <v>0</v>
      </c>
      <c r="BC30" s="679">
        <f>'F2 Weiterführung ER'!BC30</f>
        <v>0</v>
      </c>
      <c r="BD30" s="680">
        <f>'F2 Weiterführung ER'!BD30</f>
        <v>0</v>
      </c>
      <c r="BE30" s="422">
        <f>'F2 Weiterführung ER'!BE30+'F5b DELTA ER'!BE30</f>
        <v>0</v>
      </c>
      <c r="BF30" s="420">
        <f>'F2 Weiterführung ER'!BF30+'F5b DELTA ER'!BF30</f>
        <v>0</v>
      </c>
      <c r="BG30" s="420">
        <f>'F2 Weiterführung ER'!BG30+'F5b DELTA ER'!BG30</f>
        <v>0</v>
      </c>
      <c r="BH30" s="420">
        <f>'F2 Weiterführung ER'!BH30+'F5b DELTA ER'!BH30</f>
        <v>0</v>
      </c>
      <c r="BI30" s="423">
        <f>'F2 Weiterführung ER'!BI30+'F5b DELTA ER'!BI30</f>
        <v>0</v>
      </c>
    </row>
    <row r="31" spans="2:62" ht="11.1" customHeight="1">
      <c r="B31" s="374">
        <v>38</v>
      </c>
      <c r="C31" s="383"/>
      <c r="D31" s="1412" t="s">
        <v>89</v>
      </c>
      <c r="E31" s="1412"/>
      <c r="F31" s="1413"/>
      <c r="G31" s="679">
        <f>'F2 Weiterführung ER'!G31</f>
        <v>0</v>
      </c>
      <c r="H31" s="680">
        <f>'F2 Weiterführung ER'!H31</f>
        <v>0</v>
      </c>
      <c r="I31" s="422">
        <f>'F2 Weiterführung ER'!I31+'F5b DELTA ER'!I31</f>
        <v>0</v>
      </c>
      <c r="J31" s="420">
        <f>'F2 Weiterführung ER'!J31+'F5b DELTA ER'!J31</f>
        <v>0</v>
      </c>
      <c r="K31" s="420">
        <f>'F2 Weiterführung ER'!K31+'F5b DELTA ER'!K31</f>
        <v>0</v>
      </c>
      <c r="L31" s="420">
        <f>'F2 Weiterführung ER'!L31+'F5b DELTA ER'!L31</f>
        <v>0</v>
      </c>
      <c r="M31" s="423">
        <f>'F2 Weiterführung ER'!M31+'F5b DELTA ER'!M31</f>
        <v>0</v>
      </c>
      <c r="N31" s="602" t="str">
        <f t="shared" si="7"/>
        <v/>
      </c>
      <c r="O31" s="679">
        <f>'F2 Weiterführung ER'!O31</f>
        <v>0</v>
      </c>
      <c r="P31" s="680">
        <f>'F2 Weiterführung ER'!P31</f>
        <v>0</v>
      </c>
      <c r="Q31" s="422">
        <f>'F2 Weiterführung ER'!Q31+'F5b DELTA ER'!Q31</f>
        <v>0</v>
      </c>
      <c r="R31" s="420">
        <f>'F2 Weiterführung ER'!R31+'F5b DELTA ER'!R31</f>
        <v>0</v>
      </c>
      <c r="S31" s="420">
        <f>'F2 Weiterführung ER'!S31+'F5b DELTA ER'!S31</f>
        <v>0</v>
      </c>
      <c r="T31" s="420">
        <f>'F2 Weiterführung ER'!T31+'F5b DELTA ER'!T31</f>
        <v>0</v>
      </c>
      <c r="U31" s="423">
        <f>'F2 Weiterführung ER'!U31+'F5b DELTA ER'!U31</f>
        <v>0</v>
      </c>
      <c r="W31" s="679">
        <f>'F2 Weiterführung ER'!W31</f>
        <v>0</v>
      </c>
      <c r="X31" s="680">
        <f>'F2 Weiterführung ER'!X31</f>
        <v>0</v>
      </c>
      <c r="Y31" s="422">
        <f>'F2 Weiterführung ER'!Y31+'F5b DELTA ER'!Y31</f>
        <v>0</v>
      </c>
      <c r="Z31" s="420">
        <f>'F2 Weiterführung ER'!Z31+'F5b DELTA ER'!Z31</f>
        <v>0</v>
      </c>
      <c r="AA31" s="420">
        <f>'F2 Weiterführung ER'!AA31+'F5b DELTA ER'!AA31</f>
        <v>0</v>
      </c>
      <c r="AB31" s="420">
        <f>'F2 Weiterführung ER'!AB31+'F5b DELTA ER'!AB31</f>
        <v>0</v>
      </c>
      <c r="AC31" s="423">
        <f>'F2 Weiterführung ER'!AC31+'F5b DELTA ER'!AC31</f>
        <v>0</v>
      </c>
      <c r="AE31" s="679">
        <f>'F2 Weiterführung ER'!AE31</f>
        <v>0</v>
      </c>
      <c r="AF31" s="680">
        <f>'F2 Weiterführung ER'!AF31</f>
        <v>0</v>
      </c>
      <c r="AG31" s="422">
        <f>'F2 Weiterführung ER'!AG31+'F5b DELTA ER'!AG31</f>
        <v>0</v>
      </c>
      <c r="AH31" s="420">
        <f>'F2 Weiterführung ER'!AH31+'F5b DELTA ER'!AH31</f>
        <v>0</v>
      </c>
      <c r="AI31" s="420">
        <f>'F2 Weiterführung ER'!AI31+'F5b DELTA ER'!AI31</f>
        <v>0</v>
      </c>
      <c r="AJ31" s="420">
        <f>'F2 Weiterführung ER'!AJ31+'F5b DELTA ER'!AJ31</f>
        <v>0</v>
      </c>
      <c r="AK31" s="423">
        <f>'F2 Weiterführung ER'!AK31+'F5b DELTA ER'!AK31</f>
        <v>0</v>
      </c>
      <c r="AM31" s="679">
        <f>'F2 Weiterführung ER'!AM31</f>
        <v>0</v>
      </c>
      <c r="AN31" s="680">
        <f>'F2 Weiterführung ER'!AN31</f>
        <v>0</v>
      </c>
      <c r="AO31" s="422">
        <f>'F2 Weiterführung ER'!AO31+'F5b DELTA ER'!AO31</f>
        <v>0</v>
      </c>
      <c r="AP31" s="420">
        <f>'F2 Weiterführung ER'!AP31+'F5b DELTA ER'!AP31</f>
        <v>0</v>
      </c>
      <c r="AQ31" s="420">
        <f>'F2 Weiterführung ER'!AQ31+'F5b DELTA ER'!AQ31</f>
        <v>0</v>
      </c>
      <c r="AR31" s="420">
        <f>'F2 Weiterführung ER'!AR31+'F5b DELTA ER'!AR31</f>
        <v>0</v>
      </c>
      <c r="AS31" s="423">
        <f>'F2 Weiterführung ER'!AS31+'F5b DELTA ER'!AS31</f>
        <v>0</v>
      </c>
      <c r="AU31" s="679">
        <f>'F2 Weiterführung ER'!AU31</f>
        <v>0</v>
      </c>
      <c r="AV31" s="680">
        <f>'F2 Weiterführung ER'!AV31</f>
        <v>0</v>
      </c>
      <c r="AW31" s="422">
        <f>'F2 Weiterführung ER'!AW31+'F5b DELTA ER'!AW31</f>
        <v>0</v>
      </c>
      <c r="AX31" s="420">
        <f>'F2 Weiterführung ER'!AX31+'F5b DELTA ER'!AX31</f>
        <v>0</v>
      </c>
      <c r="AY31" s="420">
        <f>'F2 Weiterführung ER'!AY31+'F5b DELTA ER'!AY31</f>
        <v>0</v>
      </c>
      <c r="AZ31" s="420">
        <f>'F2 Weiterführung ER'!AZ31+'F5b DELTA ER'!AZ31</f>
        <v>0</v>
      </c>
      <c r="BA31" s="423">
        <f>'F2 Weiterführung ER'!BA31+'F5b DELTA ER'!BA31</f>
        <v>0</v>
      </c>
      <c r="BC31" s="679">
        <f>'F2 Weiterführung ER'!BC31</f>
        <v>0</v>
      </c>
      <c r="BD31" s="680">
        <f>'F2 Weiterführung ER'!BD31</f>
        <v>0</v>
      </c>
      <c r="BE31" s="422">
        <f>'F2 Weiterführung ER'!BE31+'F5b DELTA ER'!BE31</f>
        <v>0</v>
      </c>
      <c r="BF31" s="420">
        <f>'F2 Weiterführung ER'!BF31+'F5b DELTA ER'!BF31</f>
        <v>0</v>
      </c>
      <c r="BG31" s="420">
        <f>'F2 Weiterführung ER'!BG31+'F5b DELTA ER'!BG31</f>
        <v>0</v>
      </c>
      <c r="BH31" s="420">
        <f>'F2 Weiterführung ER'!BH31+'F5b DELTA ER'!BH31</f>
        <v>0</v>
      </c>
      <c r="BI31" s="423">
        <f>'F2 Weiterführung ER'!BI31+'F5b DELTA ER'!BI31</f>
        <v>0</v>
      </c>
    </row>
    <row r="32" spans="2:62" ht="11.1" customHeight="1">
      <c r="B32" s="374">
        <v>39</v>
      </c>
      <c r="C32" s="383"/>
      <c r="D32" s="1412" t="s">
        <v>175</v>
      </c>
      <c r="E32" s="1412"/>
      <c r="F32" s="1413"/>
      <c r="G32" s="679">
        <f>'F2 Weiterführung ER'!G32</f>
        <v>2743</v>
      </c>
      <c r="H32" s="680">
        <f>'F2 Weiterführung ER'!H32</f>
        <v>3026</v>
      </c>
      <c r="I32" s="592">
        <f>'F2 Weiterführung ER'!I32+'F5b DELTA ER'!I32+'F5b DELTA ER'!I33</f>
        <v>3068.7024999999999</v>
      </c>
      <c r="J32" s="593">
        <f>'F2 Weiterführung ER'!J32+'F5b DELTA ER'!J32+'F5b DELTA ER'!J33</f>
        <v>3112.3174999999997</v>
      </c>
      <c r="K32" s="593">
        <f>'F2 Weiterführung ER'!K32+'F5b DELTA ER'!K32+'F5b DELTA ER'!K33</f>
        <v>3168.2323810606058</v>
      </c>
      <c r="L32" s="593">
        <f>'F2 Weiterführung ER'!L32+'F5b DELTA ER'!L32+'F5b DELTA ER'!L33</f>
        <v>3186.3075212121207</v>
      </c>
      <c r="M32" s="594">
        <f>'F2 Weiterführung ER'!M32+'F5b DELTA ER'!M32+'F5b DELTA ER'!M33</f>
        <v>3198.669415371211</v>
      </c>
      <c r="N32" s="602" t="str">
        <f t="shared" si="7"/>
        <v/>
      </c>
      <c r="O32" s="679">
        <f>'F2 Weiterführung ER'!O32</f>
        <v>267</v>
      </c>
      <c r="P32" s="680">
        <f>'F2 Weiterführung ER'!P32</f>
        <v>298</v>
      </c>
      <c r="Q32" s="422">
        <f>'F2 Weiterführung ER'!Q32+'F5b DELTA ER'!Q32+'F5b DELTA ER'!Q33</f>
        <v>301.88999999999993</v>
      </c>
      <c r="R32" s="420">
        <f>'F2 Weiterführung ER'!R32+'F5b DELTA ER'!R32+'F5b DELTA ER'!R33</f>
        <v>303.08999999999997</v>
      </c>
      <c r="S32" s="420">
        <f>'F2 Weiterführung ER'!S32+'F5b DELTA ER'!S32+'F5b DELTA ER'!S33</f>
        <v>305.06744999999989</v>
      </c>
      <c r="T32" s="420">
        <f>'F2 Weiterführung ER'!T32+'F5b DELTA ER'!T32+'F5b DELTA ER'!T33</f>
        <v>307.1224499999999</v>
      </c>
      <c r="U32" s="423">
        <f>'F2 Weiterführung ER'!U32+'F5b DELTA ER'!U32+'F5b DELTA ER'!U33</f>
        <v>309.04238724999988</v>
      </c>
      <c r="W32" s="679">
        <f>'F2 Weiterführung ER'!W32</f>
        <v>1733</v>
      </c>
      <c r="X32" s="680">
        <f>'F2 Weiterführung ER'!X32</f>
        <v>1906</v>
      </c>
      <c r="Y32" s="422">
        <f>'F2 Weiterführung ER'!Y32+'F5b DELTA ER'!Y32+'F5b DELTA ER'!Y33</f>
        <v>1913.8499999999997</v>
      </c>
      <c r="Z32" s="420">
        <f>'F2 Weiterführung ER'!Z32+'F5b DELTA ER'!Z32+'F5b DELTA ER'!Z33</f>
        <v>1918.8699999999997</v>
      </c>
      <c r="AA32" s="420">
        <f>'F2 Weiterführung ER'!AA32+'F5b DELTA ER'!AA32+'F5b DELTA ER'!AA33</f>
        <v>1931.3051499999995</v>
      </c>
      <c r="AB32" s="420">
        <f>'F2 Weiterführung ER'!AB32+'F5b DELTA ER'!AB32+'F5b DELTA ER'!AB33</f>
        <v>1934.0851499999994</v>
      </c>
      <c r="AC32" s="423">
        <f>'F2 Weiterführung ER'!AC32+'F5b DELTA ER'!AC32+'F5b DELTA ER'!AC33</f>
        <v>1936.0756882499993</v>
      </c>
      <c r="AE32" s="679">
        <f>'F2 Weiterführung ER'!AE32</f>
        <v>269</v>
      </c>
      <c r="AF32" s="680">
        <f>'F2 Weiterführung ER'!AF32</f>
        <v>315</v>
      </c>
      <c r="AG32" s="422">
        <f>'F2 Weiterführung ER'!AG32+'F5b DELTA ER'!AG32+'F5b DELTA ER'!AG33</f>
        <v>315.97499999999997</v>
      </c>
      <c r="AH32" s="420">
        <f>'F2 Weiterführung ER'!AH32+'F5b DELTA ER'!AH32+'F5b DELTA ER'!AH33</f>
        <v>319.97499999999997</v>
      </c>
      <c r="AI32" s="420">
        <f>'F2 Weiterführung ER'!AI32+'F5b DELTA ER'!AI32+'F5b DELTA ER'!AI33</f>
        <v>325.42287499999992</v>
      </c>
      <c r="AJ32" s="420">
        <f>'F2 Weiterführung ER'!AJ32+'F5b DELTA ER'!AJ32+'F5b DELTA ER'!AJ33</f>
        <v>324.16287499999993</v>
      </c>
      <c r="AK32" s="423">
        <f>'F2 Weiterführung ER'!AK32+'F5b DELTA ER'!AK32+'F5b DELTA ER'!AK33</f>
        <v>324.49366437499992</v>
      </c>
      <c r="AM32" s="679">
        <f>'F2 Weiterführung ER'!AM32</f>
        <v>73</v>
      </c>
      <c r="AN32" s="680">
        <f>'F2 Weiterführung ER'!AN32</f>
        <v>74</v>
      </c>
      <c r="AO32" s="422">
        <f>'F2 Weiterführung ER'!AO32+'F5b DELTA ER'!AO32+'F5b DELTA ER'!AO33</f>
        <v>69.627499999999998</v>
      </c>
      <c r="AP32" s="420">
        <f>'F2 Weiterführung ER'!AP32+'F5b DELTA ER'!AP32+'F5b DELTA ER'!AP33</f>
        <v>66.032499999999985</v>
      </c>
      <c r="AQ32" s="420">
        <f>'F2 Weiterführung ER'!AQ32+'F5b DELTA ER'!AQ32+'F5b DELTA ER'!AQ33</f>
        <v>64.402247727272709</v>
      </c>
      <c r="AR32" s="420">
        <f>'F2 Weiterführung ER'!AR32+'F5b DELTA ER'!AR32+'F5b DELTA ER'!AR33</f>
        <v>68.221054545454535</v>
      </c>
      <c r="AS32" s="423">
        <f>'F2 Weiterführung ER'!AS32+'F5b DELTA ER'!AS32+'F5b DELTA ER'!AS33</f>
        <v>71.304479704545429</v>
      </c>
      <c r="AU32" s="679">
        <f>'F2 Weiterführung ER'!AU32</f>
        <v>299</v>
      </c>
      <c r="AV32" s="680">
        <f>'F2 Weiterführung ER'!AV32</f>
        <v>321</v>
      </c>
      <c r="AW32" s="422">
        <f>'F2 Weiterführung ER'!AW32+'F5b DELTA ER'!AW32+'F5b DELTA ER'!AW33</f>
        <v>354.79999999999995</v>
      </c>
      <c r="AX32" s="420">
        <f>'F2 Weiterführung ER'!AX32+'F5b DELTA ER'!AX32+'F5b DELTA ER'!AX33</f>
        <v>391.78999999999996</v>
      </c>
      <c r="AY32" s="420">
        <f>'F2 Weiterführung ER'!AY32+'F5b DELTA ER'!AY32+'F5b DELTA ER'!AY33</f>
        <v>428.91185833333327</v>
      </c>
      <c r="AZ32" s="420">
        <f>'F2 Weiterführung ER'!AZ32+'F5b DELTA ER'!AZ32+'F5b DELTA ER'!AZ33</f>
        <v>439.5931916666666</v>
      </c>
      <c r="BA32" s="423">
        <f>'F2 Weiterführung ER'!BA32+'F5b DELTA ER'!BA32+'F5b DELTA ER'!BA33</f>
        <v>444.06478179166658</v>
      </c>
      <c r="BC32" s="679">
        <f>'F2 Weiterführung ER'!BC32</f>
        <v>102</v>
      </c>
      <c r="BD32" s="680">
        <f>'F2 Weiterführung ER'!BD32</f>
        <v>112</v>
      </c>
      <c r="BE32" s="422">
        <f>'F2 Weiterführung ER'!BE32+'F5b DELTA ER'!BE32+'F5b DELTA ER'!BE33</f>
        <v>112.55999999999999</v>
      </c>
      <c r="BF32" s="420">
        <f>'F2 Weiterführung ER'!BF32+'F5b DELTA ER'!BF32+'F5b DELTA ER'!BF33</f>
        <v>112.55999999999999</v>
      </c>
      <c r="BG32" s="420">
        <f>'F2 Weiterführung ER'!BG32+'F5b DELTA ER'!BG32+'F5b DELTA ER'!BG33</f>
        <v>113.12279999999997</v>
      </c>
      <c r="BH32" s="420">
        <f>'F2 Weiterführung ER'!BH32+'F5b DELTA ER'!BH32+'F5b DELTA ER'!BH33</f>
        <v>113.12279999999997</v>
      </c>
      <c r="BI32" s="423">
        <f>'F2 Weiterführung ER'!BI32+'F5b DELTA ER'!BI32+'F5b DELTA ER'!BI33</f>
        <v>113.68841399999995</v>
      </c>
    </row>
    <row r="33" spans="2:62" s="644" customFormat="1" ht="11.1" customHeight="1">
      <c r="B33" s="655"/>
      <c r="C33" s="656">
        <v>394</v>
      </c>
      <c r="D33" s="657"/>
      <c r="E33" s="1430" t="s">
        <v>132</v>
      </c>
      <c r="F33" s="1431"/>
      <c r="G33" s="652">
        <f>'F2 Weiterführung ER'!G33</f>
        <v>497</v>
      </c>
      <c r="H33" s="653">
        <f>'F2 Weiterführung ER'!H33</f>
        <v>0</v>
      </c>
      <c r="I33" s="696">
        <f>'F2 Weiterführung ER'!I33+'F5b DELTA ER'!I33</f>
        <v>27.572499999999994</v>
      </c>
      <c r="J33" s="697">
        <f>'F2 Weiterführung ER'!J33+'F5b DELTA ER'!J33</f>
        <v>71.187499999999986</v>
      </c>
      <c r="K33" s="697">
        <f>'F2 Weiterführung ER'!K33+'F5b DELTA ER'!K33</f>
        <v>111.89673106060604</v>
      </c>
      <c r="L33" s="697">
        <f>'F2 Weiterführung ER'!L33+'F5b DELTA ER'!L33</f>
        <v>129.97187121212121</v>
      </c>
      <c r="M33" s="698">
        <f>'F2 Weiterführung ER'!M33+'F5b DELTA ER'!M33</f>
        <v>127.05208712121211</v>
      </c>
      <c r="N33" s="602" t="str">
        <f t="shared" si="7"/>
        <v/>
      </c>
      <c r="O33" s="652">
        <f>'F2 Weiterführung ER'!O33</f>
        <v>22</v>
      </c>
      <c r="P33" s="653">
        <f>'F2 Weiterführung ER'!P33</f>
        <v>0</v>
      </c>
      <c r="Q33" s="696">
        <f>'F2 Weiterführung ER'!Q33+'F5b DELTA ER'!Q33</f>
        <v>2.4</v>
      </c>
      <c r="R33" s="697">
        <f>'F2 Weiterführung ER'!R33+'F5b DELTA ER'!R33</f>
        <v>3.5999999999999996</v>
      </c>
      <c r="S33" s="697">
        <f>'F2 Weiterführung ER'!S33+'F5b DELTA ER'!S33</f>
        <v>4.08</v>
      </c>
      <c r="T33" s="697">
        <f>'F2 Weiterführung ER'!T33+'F5b DELTA ER'!T33</f>
        <v>6.1349999999999998</v>
      </c>
      <c r="U33" s="698">
        <f>'F2 Weiterführung ER'!U33+'F5b DELTA ER'!U33</f>
        <v>6.55</v>
      </c>
      <c r="W33" s="652">
        <f>'F2 Weiterführung ER'!W33</f>
        <v>164</v>
      </c>
      <c r="X33" s="653">
        <f>'F2 Weiterführung ER'!X33</f>
        <v>0</v>
      </c>
      <c r="Y33" s="696">
        <f>'F2 Weiterführung ER'!Y33+'F5b DELTA ER'!Y33</f>
        <v>-1.68</v>
      </c>
      <c r="Z33" s="697">
        <f>'F2 Weiterführung ER'!Z33+'F5b DELTA ER'!Z33</f>
        <v>3.3400000000000007</v>
      </c>
      <c r="AA33" s="697">
        <f>'F2 Weiterführung ER'!AA33+'F5b DELTA ER'!AA33</f>
        <v>6.1975000000000007</v>
      </c>
      <c r="AB33" s="697">
        <f>'F2 Weiterführung ER'!AB33+'F5b DELTA ER'!AB33</f>
        <v>8.9775000000000009</v>
      </c>
      <c r="AC33" s="698">
        <f>'F2 Weiterführung ER'!AC33+'F5b DELTA ER'!AC33</f>
        <v>1.3425000000000011</v>
      </c>
      <c r="AE33" s="652">
        <f>'F2 Weiterführung ER'!AE33</f>
        <v>35</v>
      </c>
      <c r="AF33" s="653">
        <f>'F2 Weiterführung ER'!AF33</f>
        <v>0</v>
      </c>
      <c r="AG33" s="696">
        <f>'F2 Weiterführung ER'!AG33+'F5b DELTA ER'!AG33</f>
        <v>-0.6</v>
      </c>
      <c r="AH33" s="697">
        <f>'F2 Weiterführung ER'!AH33+'F5b DELTA ER'!AH33</f>
        <v>3.4</v>
      </c>
      <c r="AI33" s="697">
        <f>'F2 Weiterführung ER'!AI33+'F5b DELTA ER'!AI33</f>
        <v>7.2650000000000006</v>
      </c>
      <c r="AJ33" s="697">
        <f>'F2 Weiterführung ER'!AJ33+'F5b DELTA ER'!AJ33</f>
        <v>6.0050000000000008</v>
      </c>
      <c r="AK33" s="698">
        <f>'F2 Weiterführung ER'!AK33+'F5b DELTA ER'!AK33</f>
        <v>4.745000000000001</v>
      </c>
      <c r="AM33" s="652">
        <f>'F2 Weiterführung ER'!AM33</f>
        <v>12</v>
      </c>
      <c r="AN33" s="653">
        <f>'F2 Weiterführung ER'!AN33</f>
        <v>0</v>
      </c>
      <c r="AO33" s="696">
        <f>'F2 Weiterführung ER'!AO33+'F5b DELTA ER'!AO33</f>
        <v>-4.7424999999999997</v>
      </c>
      <c r="AP33" s="697">
        <f>'F2 Weiterführung ER'!AP33+'F5b DELTA ER'!AP33</f>
        <v>-8.3375000000000004</v>
      </c>
      <c r="AQ33" s="697">
        <f>'F2 Weiterführung ER'!AQ33+'F5b DELTA ER'!AQ33</f>
        <v>-10.339602272727273</v>
      </c>
      <c r="AR33" s="697">
        <f>'F2 Weiterführung ER'!AR33+'F5b DELTA ER'!AR33</f>
        <v>-6.5207954545454552</v>
      </c>
      <c r="AS33" s="698">
        <f>'F2 Weiterführung ER'!AS33+'F5b DELTA ER'!AS33</f>
        <v>-3.8110795454545463</v>
      </c>
      <c r="AU33" s="652">
        <f>'F2 Weiterführung ER'!AU33</f>
        <v>178</v>
      </c>
      <c r="AV33" s="653">
        <f>'F2 Weiterführung ER'!AV33</f>
        <v>0</v>
      </c>
      <c r="AW33" s="696">
        <f>'F2 Weiterführung ER'!AW33+'F5b DELTA ER'!AW33</f>
        <v>32.194999999999993</v>
      </c>
      <c r="AX33" s="697">
        <f>'F2 Weiterführung ER'!AX33+'F5b DELTA ER'!AX33</f>
        <v>69.184999999999988</v>
      </c>
      <c r="AY33" s="697">
        <f>'F2 Weiterführung ER'!AY33+'F5b DELTA ER'!AY33</f>
        <v>104.69383333333332</v>
      </c>
      <c r="AZ33" s="697">
        <f>'F2 Weiterführung ER'!AZ33+'F5b DELTA ER'!AZ33</f>
        <v>115.37516666666666</v>
      </c>
      <c r="BA33" s="698">
        <f>'F2 Weiterführung ER'!BA33+'F5b DELTA ER'!BA33</f>
        <v>118.22566666666665</v>
      </c>
      <c r="BC33" s="652">
        <f>'F2 Weiterführung ER'!BC33</f>
        <v>86</v>
      </c>
      <c r="BD33" s="653">
        <f>'F2 Weiterführung ER'!BD33</f>
        <v>0</v>
      </c>
      <c r="BE33" s="696">
        <f>'F2 Weiterführung ER'!BE33+'F5b DELTA ER'!BE33</f>
        <v>0</v>
      </c>
      <c r="BF33" s="697">
        <f>'F2 Weiterführung ER'!BF33+'F5b DELTA ER'!BF33</f>
        <v>0</v>
      </c>
      <c r="BG33" s="697">
        <f>'F2 Weiterführung ER'!BG33+'F5b DELTA ER'!BG33</f>
        <v>0</v>
      </c>
      <c r="BH33" s="697">
        <f>'F2 Weiterführung ER'!BH33+'F5b DELTA ER'!BH33</f>
        <v>0</v>
      </c>
      <c r="BI33" s="698">
        <f>'F2 Weiterführung ER'!BI33+'F5b DELTA ER'!BI33</f>
        <v>0</v>
      </c>
    </row>
    <row r="34" spans="2:62" ht="6" customHeight="1">
      <c r="B34" s="425"/>
      <c r="C34" s="690"/>
      <c r="D34" s="690"/>
      <c r="E34" s="426"/>
      <c r="F34" s="426"/>
      <c r="G34" s="422"/>
      <c r="H34" s="422"/>
      <c r="I34" s="422"/>
      <c r="J34" s="422"/>
      <c r="K34" s="422"/>
      <c r="L34" s="422"/>
      <c r="M34" s="422"/>
      <c r="N34" s="379"/>
      <c r="O34" s="379"/>
      <c r="P34" s="379"/>
      <c r="Q34" s="379"/>
      <c r="R34" s="379"/>
      <c r="S34" s="379"/>
      <c r="T34" s="379"/>
      <c r="U34" s="379"/>
      <c r="W34" s="379"/>
      <c r="X34" s="379"/>
      <c r="Y34" s="379"/>
      <c r="Z34" s="379"/>
      <c r="AA34" s="379"/>
      <c r="AB34" s="379"/>
      <c r="AC34" s="379"/>
      <c r="AE34" s="379"/>
      <c r="AF34" s="379"/>
      <c r="AG34" s="379"/>
      <c r="AH34" s="379"/>
      <c r="AI34" s="379"/>
      <c r="AJ34" s="379"/>
      <c r="AK34" s="379"/>
      <c r="AM34" s="379"/>
      <c r="AN34" s="379"/>
      <c r="AO34" s="379"/>
      <c r="AP34" s="379"/>
      <c r="AQ34" s="379"/>
      <c r="AR34" s="379"/>
      <c r="AS34" s="379"/>
      <c r="AU34" s="379"/>
      <c r="AV34" s="379"/>
      <c r="AW34" s="379"/>
      <c r="AX34" s="379"/>
      <c r="AY34" s="379"/>
      <c r="AZ34" s="379"/>
      <c r="BA34" s="379"/>
      <c r="BC34" s="379"/>
      <c r="BD34" s="379"/>
      <c r="BE34" s="379"/>
      <c r="BF34" s="379"/>
      <c r="BG34" s="379"/>
      <c r="BH34" s="379"/>
      <c r="BI34" s="379"/>
    </row>
    <row r="35" spans="2:62" ht="6" customHeight="1">
      <c r="B35" s="374"/>
      <c r="C35" s="688"/>
      <c r="D35" s="688"/>
      <c r="E35" s="427"/>
      <c r="F35" s="427"/>
      <c r="G35" s="395"/>
      <c r="H35" s="395"/>
      <c r="I35" s="395"/>
      <c r="J35" s="395"/>
      <c r="K35" s="395"/>
      <c r="L35" s="395"/>
      <c r="M35" s="395"/>
      <c r="N35" s="379"/>
      <c r="O35" s="391"/>
      <c r="P35" s="391"/>
      <c r="Q35" s="391"/>
      <c r="R35" s="391"/>
      <c r="S35" s="391"/>
      <c r="T35" s="391"/>
      <c r="U35" s="391"/>
      <c r="W35" s="391"/>
      <c r="X35" s="391"/>
      <c r="Y35" s="391"/>
      <c r="Z35" s="391"/>
      <c r="AA35" s="391"/>
      <c r="AB35" s="391"/>
      <c r="AC35" s="391"/>
      <c r="AE35" s="391"/>
      <c r="AF35" s="391"/>
      <c r="AG35" s="391"/>
      <c r="AH35" s="391"/>
      <c r="AI35" s="391"/>
      <c r="AJ35" s="391"/>
      <c r="AK35" s="391"/>
      <c r="AM35" s="391"/>
      <c r="AN35" s="391"/>
      <c r="AO35" s="391"/>
      <c r="AP35" s="391"/>
      <c r="AQ35" s="391"/>
      <c r="AR35" s="391"/>
      <c r="AS35" s="391"/>
      <c r="AU35" s="391"/>
      <c r="AV35" s="391"/>
      <c r="AW35" s="391"/>
      <c r="AX35" s="391"/>
      <c r="AY35" s="391"/>
      <c r="AZ35" s="391"/>
      <c r="BA35" s="391"/>
      <c r="BC35" s="391"/>
      <c r="BD35" s="391"/>
      <c r="BE35" s="391"/>
      <c r="BF35" s="391"/>
      <c r="BG35" s="391"/>
      <c r="BH35" s="391"/>
      <c r="BI35" s="391"/>
    </row>
    <row r="36" spans="2:62" ht="11.1" customHeight="1">
      <c r="B36" s="374">
        <v>4</v>
      </c>
      <c r="C36" s="383"/>
      <c r="D36" s="1406" t="s">
        <v>34</v>
      </c>
      <c r="E36" s="1432"/>
      <c r="F36" s="1433"/>
      <c r="G36" s="384">
        <f>SUM(G39:G46)+G50+G55+G57+G58+G60</f>
        <v>23975</v>
      </c>
      <c r="H36" s="701">
        <f t="shared" ref="H36:L36" si="33">SUM(H39:H46)+H50+H55+H57+H58+H60</f>
        <v>24755</v>
      </c>
      <c r="I36" s="386">
        <f t="shared" si="33"/>
        <v>24953.952499999996</v>
      </c>
      <c r="J36" s="386">
        <f t="shared" si="33"/>
        <v>25113.675049499998</v>
      </c>
      <c r="K36" s="386">
        <f t="shared" si="33"/>
        <v>25341.306706035502</v>
      </c>
      <c r="L36" s="386">
        <f t="shared" si="33"/>
        <v>25544.32127248924</v>
      </c>
      <c r="M36" s="384">
        <f>SUM(M39:M46)+M50+M55+M57+M58+M60</f>
        <v>25805.393520439247</v>
      </c>
      <c r="N36" s="379"/>
      <c r="O36" s="384">
        <f>SUM(O39:O46)+O50+O55+O57+O58+O60</f>
        <v>710</v>
      </c>
      <c r="P36" s="701">
        <f t="shared" ref="P36:T36" si="34">SUM(P39:P46)+P50+P55+P57+P58+P60</f>
        <v>743</v>
      </c>
      <c r="Q36" s="386">
        <f t="shared" si="34"/>
        <v>746.79</v>
      </c>
      <c r="R36" s="386">
        <f t="shared" si="34"/>
        <v>747.49549999999988</v>
      </c>
      <c r="S36" s="386">
        <f t="shared" si="34"/>
        <v>751.31199749999985</v>
      </c>
      <c r="T36" s="386">
        <f t="shared" si="34"/>
        <v>752.0286404374998</v>
      </c>
      <c r="U36" s="384">
        <f>SUM(U39:U46)+U50+U55+U57+U58+U60</f>
        <v>755.87190444168721</v>
      </c>
      <c r="V36" s="379"/>
      <c r="W36" s="384">
        <f t="shared" ref="W36:BI36" si="35">SUM(W39:W46)+W50+W55+W57+W58+W60</f>
        <v>4659</v>
      </c>
      <c r="X36" s="701">
        <f t="shared" si="35"/>
        <v>5035</v>
      </c>
      <c r="Y36" s="386">
        <f t="shared" si="35"/>
        <v>5060.57</v>
      </c>
      <c r="Z36" s="386">
        <f t="shared" si="35"/>
        <v>5076.9318749999993</v>
      </c>
      <c r="AA36" s="386">
        <f t="shared" si="35"/>
        <v>5102.7225893749983</v>
      </c>
      <c r="AB36" s="386">
        <f t="shared" si="35"/>
        <v>5119.2596854968733</v>
      </c>
      <c r="AC36" s="384">
        <f t="shared" si="35"/>
        <v>5145.2733161298574</v>
      </c>
      <c r="AD36" s="379"/>
      <c r="AE36" s="384">
        <f t="shared" ref="AE36" si="36">SUM(AE39:AE46)+AE50+AE55+AE57+AE58+AE60</f>
        <v>2</v>
      </c>
      <c r="AF36" s="701">
        <f t="shared" si="35"/>
        <v>4</v>
      </c>
      <c r="AG36" s="386">
        <f t="shared" si="35"/>
        <v>4.04</v>
      </c>
      <c r="AH36" s="386">
        <f t="shared" si="35"/>
        <v>4.0804</v>
      </c>
      <c r="AI36" s="386">
        <f t="shared" si="35"/>
        <v>4.1212039999999996</v>
      </c>
      <c r="AJ36" s="386">
        <f t="shared" si="35"/>
        <v>4.1624160400000001</v>
      </c>
      <c r="AK36" s="384">
        <f t="shared" si="35"/>
        <v>4.2040402003999997</v>
      </c>
      <c r="AL36" s="379"/>
      <c r="AM36" s="384">
        <f t="shared" ref="AM36" si="37">SUM(AM39:AM46)+AM50+AM55+AM57+AM58+AM60</f>
        <v>6142</v>
      </c>
      <c r="AN36" s="701">
        <f t="shared" si="35"/>
        <v>6295</v>
      </c>
      <c r="AO36" s="386">
        <f t="shared" si="35"/>
        <v>6401.3</v>
      </c>
      <c r="AP36" s="386">
        <f t="shared" si="35"/>
        <v>6458.0413250000011</v>
      </c>
      <c r="AQ36" s="386">
        <f t="shared" si="35"/>
        <v>6515.4196846250006</v>
      </c>
      <c r="AR36" s="386">
        <f t="shared" si="35"/>
        <v>6573.2494152031259</v>
      </c>
      <c r="AS36" s="384">
        <f t="shared" si="35"/>
        <v>6631.7272826544404</v>
      </c>
      <c r="AT36" s="379"/>
      <c r="AU36" s="384">
        <f t="shared" ref="AU36" si="38">SUM(AU39:AU46)+AU50+AU55+AU57+AU58+AU60</f>
        <v>1675</v>
      </c>
      <c r="AV36" s="701">
        <f t="shared" si="35"/>
        <v>1691</v>
      </c>
      <c r="AW36" s="386">
        <f t="shared" si="35"/>
        <v>1637.68</v>
      </c>
      <c r="AX36" s="386">
        <f t="shared" si="35"/>
        <v>1630.1661750000003</v>
      </c>
      <c r="AY36" s="386">
        <f t="shared" si="35"/>
        <v>1623.0912993750001</v>
      </c>
      <c r="AZ36" s="386">
        <f t="shared" si="35"/>
        <v>1615.8234344318751</v>
      </c>
      <c r="BA36" s="384">
        <f t="shared" si="35"/>
        <v>1608.9985364033844</v>
      </c>
      <c r="BB36" s="379"/>
      <c r="BC36" s="384">
        <f t="shared" ref="BC36" si="39">SUM(BC39:BC46)+BC50+BC55+BC57+BC58+BC60</f>
        <v>10787</v>
      </c>
      <c r="BD36" s="701">
        <f t="shared" si="35"/>
        <v>10987</v>
      </c>
      <c r="BE36" s="386">
        <f t="shared" si="35"/>
        <v>11103.5725</v>
      </c>
      <c r="BF36" s="386">
        <f t="shared" si="35"/>
        <v>11196.959774499999</v>
      </c>
      <c r="BG36" s="386">
        <f t="shared" si="35"/>
        <v>11344.639931160506</v>
      </c>
      <c r="BH36" s="386">
        <f t="shared" si="35"/>
        <v>11479.797680879867</v>
      </c>
      <c r="BI36" s="384">
        <f t="shared" si="35"/>
        <v>11659.318440609475</v>
      </c>
      <c r="BJ36" s="379"/>
    </row>
    <row r="37" spans="2:62" ht="6" customHeight="1">
      <c r="B37" s="387"/>
      <c r="C37" s="388"/>
      <c r="D37" s="388"/>
      <c r="E37" s="85"/>
      <c r="F37" s="85"/>
      <c r="G37" s="422"/>
      <c r="H37" s="422"/>
      <c r="I37" s="422"/>
      <c r="J37" s="422"/>
      <c r="K37" s="422"/>
      <c r="L37" s="422"/>
      <c r="M37" s="422"/>
      <c r="N37" s="379"/>
      <c r="O37" s="379"/>
      <c r="P37" s="379"/>
      <c r="Q37" s="379"/>
      <c r="R37" s="379"/>
      <c r="S37" s="379"/>
      <c r="T37" s="379"/>
      <c r="U37" s="379"/>
      <c r="W37" s="379"/>
      <c r="X37" s="379"/>
      <c r="Y37" s="379"/>
      <c r="Z37" s="379"/>
      <c r="AA37" s="379"/>
      <c r="AB37" s="379"/>
      <c r="AC37" s="379"/>
      <c r="AE37" s="379"/>
      <c r="AF37" s="379"/>
      <c r="AG37" s="379"/>
      <c r="AH37" s="379"/>
      <c r="AI37" s="379"/>
      <c r="AJ37" s="379"/>
      <c r="AK37" s="379"/>
      <c r="AM37" s="379"/>
      <c r="AN37" s="379"/>
      <c r="AO37" s="379"/>
      <c r="AP37" s="379"/>
      <c r="AQ37" s="379"/>
      <c r="AR37" s="379"/>
      <c r="AS37" s="379"/>
      <c r="AU37" s="379"/>
      <c r="AV37" s="379"/>
      <c r="AW37" s="379"/>
      <c r="AX37" s="379"/>
      <c r="AY37" s="379"/>
      <c r="AZ37" s="379"/>
      <c r="BA37" s="379"/>
      <c r="BC37" s="379"/>
      <c r="BD37" s="379"/>
      <c r="BE37" s="379"/>
      <c r="BF37" s="379"/>
      <c r="BG37" s="379"/>
      <c r="BH37" s="379"/>
      <c r="BI37" s="379"/>
    </row>
    <row r="38" spans="2:62" ht="11.1" customHeight="1">
      <c r="B38" s="374">
        <v>40</v>
      </c>
      <c r="C38" s="383"/>
      <c r="D38" s="1412" t="s">
        <v>90</v>
      </c>
      <c r="E38" s="1412"/>
      <c r="F38" s="1413"/>
      <c r="G38" s="416">
        <f>SUM(G39:G42)</f>
        <v>7144</v>
      </c>
      <c r="H38" s="417">
        <f>SUM(H39:H42)</f>
        <v>7584</v>
      </c>
      <c r="I38" s="418">
        <f t="shared" ref="I38:M38" si="40">SUM(I39:I42)</f>
        <v>7793.3849999999993</v>
      </c>
      <c r="J38" s="419">
        <f t="shared" si="40"/>
        <v>7960.1020994999999</v>
      </c>
      <c r="K38" s="419">
        <f t="shared" si="40"/>
        <v>8144.3994237249008</v>
      </c>
      <c r="L38" s="419">
        <f t="shared" si="40"/>
        <v>8278.3656011558705</v>
      </c>
      <c r="M38" s="419">
        <f t="shared" si="40"/>
        <v>8498.0727348987803</v>
      </c>
      <c r="N38" s="602" t="str">
        <f t="shared" ref="N38:N49" si="41">IF(SUM(G38:M38)=SUM(O38:YQ38),"",SUM(O38:YQ38)-SUM(G38:M38))</f>
        <v/>
      </c>
      <c r="O38" s="416">
        <f>SUM(O39:O42)</f>
        <v>0</v>
      </c>
      <c r="P38" s="417">
        <f>SUM(P39:P42)</f>
        <v>0</v>
      </c>
      <c r="Q38" s="418">
        <f t="shared" ref="Q38:U38" si="42">SUM(Q39:Q42)</f>
        <v>0</v>
      </c>
      <c r="R38" s="419">
        <f t="shared" si="42"/>
        <v>0</v>
      </c>
      <c r="S38" s="419">
        <f t="shared" si="42"/>
        <v>0</v>
      </c>
      <c r="T38" s="419">
        <f t="shared" si="42"/>
        <v>0</v>
      </c>
      <c r="U38" s="419">
        <f t="shared" si="42"/>
        <v>0</v>
      </c>
      <c r="W38" s="416">
        <f>SUM(W39:W42)</f>
        <v>0</v>
      </c>
      <c r="X38" s="417">
        <f>SUM(X39:X42)</f>
        <v>0</v>
      </c>
      <c r="Y38" s="418">
        <f t="shared" ref="Y38:AC38" si="43">SUM(Y39:Y42)</f>
        <v>0</v>
      </c>
      <c r="Z38" s="419">
        <f t="shared" si="43"/>
        <v>0</v>
      </c>
      <c r="AA38" s="419">
        <f t="shared" si="43"/>
        <v>0</v>
      </c>
      <c r="AB38" s="419">
        <f t="shared" si="43"/>
        <v>0</v>
      </c>
      <c r="AC38" s="419">
        <f t="shared" si="43"/>
        <v>0</v>
      </c>
      <c r="AE38" s="416">
        <f>SUM(AE39:AE42)</f>
        <v>0</v>
      </c>
      <c r="AF38" s="417">
        <f>SUM(AF39:AF42)</f>
        <v>0</v>
      </c>
      <c r="AG38" s="418">
        <f t="shared" ref="AG38:AK38" si="44">SUM(AG39:AG42)</f>
        <v>0</v>
      </c>
      <c r="AH38" s="419">
        <f t="shared" si="44"/>
        <v>0</v>
      </c>
      <c r="AI38" s="419">
        <f t="shared" si="44"/>
        <v>0</v>
      </c>
      <c r="AJ38" s="419">
        <f t="shared" si="44"/>
        <v>0</v>
      </c>
      <c r="AK38" s="419">
        <f t="shared" si="44"/>
        <v>0</v>
      </c>
      <c r="AM38" s="416">
        <f>SUM(AM39:AM42)</f>
        <v>0</v>
      </c>
      <c r="AN38" s="417">
        <f>SUM(AN39:AN42)</f>
        <v>0</v>
      </c>
      <c r="AO38" s="418">
        <f t="shared" ref="AO38:AS38" si="45">SUM(AO39:AO42)</f>
        <v>0</v>
      </c>
      <c r="AP38" s="419">
        <f t="shared" si="45"/>
        <v>0</v>
      </c>
      <c r="AQ38" s="419">
        <f t="shared" si="45"/>
        <v>0</v>
      </c>
      <c r="AR38" s="419">
        <f t="shared" si="45"/>
        <v>0</v>
      </c>
      <c r="AS38" s="419">
        <f t="shared" si="45"/>
        <v>0</v>
      </c>
      <c r="AU38" s="416">
        <f>SUM(AU39:AU42)</f>
        <v>0</v>
      </c>
      <c r="AV38" s="417">
        <f>SUM(AV39:AV42)</f>
        <v>0</v>
      </c>
      <c r="AW38" s="418">
        <f t="shared" ref="AW38:BA38" si="46">SUM(AW39:AW42)</f>
        <v>0</v>
      </c>
      <c r="AX38" s="419">
        <f t="shared" si="46"/>
        <v>0</v>
      </c>
      <c r="AY38" s="419">
        <f t="shared" si="46"/>
        <v>0</v>
      </c>
      <c r="AZ38" s="419">
        <f t="shared" si="46"/>
        <v>0</v>
      </c>
      <c r="BA38" s="419">
        <f t="shared" si="46"/>
        <v>0</v>
      </c>
      <c r="BC38" s="416">
        <f>SUM(BC39:BC42)</f>
        <v>7144</v>
      </c>
      <c r="BD38" s="417">
        <f>SUM(BD39:BD42)</f>
        <v>7584</v>
      </c>
      <c r="BE38" s="418">
        <f t="shared" ref="BE38:BI38" si="47">SUM(BE39:BE42)</f>
        <v>7793.3849999999993</v>
      </c>
      <c r="BF38" s="419">
        <f t="shared" si="47"/>
        <v>7960.1020994999999</v>
      </c>
      <c r="BG38" s="419">
        <f t="shared" si="47"/>
        <v>8144.3994237249008</v>
      </c>
      <c r="BH38" s="419">
        <f t="shared" si="47"/>
        <v>8278.3656011558705</v>
      </c>
      <c r="BI38" s="419">
        <f t="shared" si="47"/>
        <v>8498.0727348987803</v>
      </c>
    </row>
    <row r="39" spans="2:62" ht="11.1" customHeight="1">
      <c r="B39" s="374"/>
      <c r="C39" s="428">
        <v>400</v>
      </c>
      <c r="D39" s="1436" t="s">
        <v>91</v>
      </c>
      <c r="E39" s="1436"/>
      <c r="F39" s="1437"/>
      <c r="G39" s="646">
        <f>'F2 Weiterführung ER'!G39</f>
        <v>5930</v>
      </c>
      <c r="H39" s="647">
        <f>'F2 Weiterführung ER'!H39</f>
        <v>6225</v>
      </c>
      <c r="I39" s="648">
        <f>'F2 Weiterführung ER'!I39+'F5b DELTA ER'!I39</f>
        <v>6412.9949999999999</v>
      </c>
      <c r="J39" s="649">
        <f>'F2 Weiterführung ER'!J39+'F5b DELTA ER'!J39</f>
        <v>6541.8961995</v>
      </c>
      <c r="K39" s="649">
        <f>'F2 Weiterführung ER'!K39+'F5b DELTA ER'!K39</f>
        <v>6739.4614647249</v>
      </c>
      <c r="L39" s="649">
        <f>'F2 Weiterführung ER'!L39+'F5b DELTA ER'!L39</f>
        <v>6874.9246401658702</v>
      </c>
      <c r="M39" s="595">
        <f>'F2 Weiterführung ER'!M39+'F5b DELTA ER'!M39</f>
        <v>7082.5473642988791</v>
      </c>
      <c r="N39" s="602" t="str">
        <f t="shared" si="41"/>
        <v/>
      </c>
      <c r="O39" s="646">
        <f>'F2 Weiterführung ER'!O39</f>
        <v>0</v>
      </c>
      <c r="P39" s="647">
        <f>'F2 Weiterführung ER'!P39</f>
        <v>0</v>
      </c>
      <c r="Q39" s="648">
        <f>'F2 Weiterführung ER'!Q39+'F5b DELTA ER'!Q39</f>
        <v>0</v>
      </c>
      <c r="R39" s="649">
        <f>'F2 Weiterführung ER'!R39+'F5b DELTA ER'!R39</f>
        <v>0</v>
      </c>
      <c r="S39" s="649">
        <f>'F2 Weiterführung ER'!S39+'F5b DELTA ER'!S39</f>
        <v>0</v>
      </c>
      <c r="T39" s="649">
        <f>'F2 Weiterführung ER'!T39+'F5b DELTA ER'!T39</f>
        <v>0</v>
      </c>
      <c r="U39" s="595">
        <f>'F2 Weiterführung ER'!U39+'F5b DELTA ER'!U39</f>
        <v>0</v>
      </c>
      <c r="W39" s="646">
        <f>'F2 Weiterführung ER'!W39</f>
        <v>0</v>
      </c>
      <c r="X39" s="647">
        <f>'F2 Weiterführung ER'!X39</f>
        <v>0</v>
      </c>
      <c r="Y39" s="648">
        <f>'F2 Weiterführung ER'!Y39+'F5b DELTA ER'!Y39</f>
        <v>0</v>
      </c>
      <c r="Z39" s="649">
        <f>'F2 Weiterführung ER'!Z39+'F5b DELTA ER'!Z39</f>
        <v>0</v>
      </c>
      <c r="AA39" s="649">
        <f>'F2 Weiterführung ER'!AA39+'F5b DELTA ER'!AA39</f>
        <v>0</v>
      </c>
      <c r="AB39" s="649">
        <f>'F2 Weiterführung ER'!AB39+'F5b DELTA ER'!AB39</f>
        <v>0</v>
      </c>
      <c r="AC39" s="595">
        <f>'F2 Weiterführung ER'!AC39+'F5b DELTA ER'!AC39</f>
        <v>0</v>
      </c>
      <c r="AE39" s="646">
        <f>'F2 Weiterführung ER'!AE39</f>
        <v>0</v>
      </c>
      <c r="AF39" s="647">
        <f>'F2 Weiterführung ER'!AF39</f>
        <v>0</v>
      </c>
      <c r="AG39" s="648">
        <f>'F2 Weiterführung ER'!AG39+'F5b DELTA ER'!AG39</f>
        <v>0</v>
      </c>
      <c r="AH39" s="649">
        <f>'F2 Weiterführung ER'!AH39+'F5b DELTA ER'!AH39</f>
        <v>0</v>
      </c>
      <c r="AI39" s="649">
        <f>'F2 Weiterführung ER'!AI39+'F5b DELTA ER'!AI39</f>
        <v>0</v>
      </c>
      <c r="AJ39" s="649">
        <f>'F2 Weiterführung ER'!AJ39+'F5b DELTA ER'!AJ39</f>
        <v>0</v>
      </c>
      <c r="AK39" s="595">
        <f>'F2 Weiterführung ER'!AK39+'F5b DELTA ER'!AK39</f>
        <v>0</v>
      </c>
      <c r="AM39" s="646">
        <f>'F2 Weiterführung ER'!AM39</f>
        <v>0</v>
      </c>
      <c r="AN39" s="647">
        <f>'F2 Weiterführung ER'!AN39</f>
        <v>0</v>
      </c>
      <c r="AO39" s="648">
        <f>'F2 Weiterführung ER'!AO39+'F5b DELTA ER'!AO39</f>
        <v>0</v>
      </c>
      <c r="AP39" s="649">
        <f>'F2 Weiterführung ER'!AP39+'F5b DELTA ER'!AP39</f>
        <v>0</v>
      </c>
      <c r="AQ39" s="649">
        <f>'F2 Weiterführung ER'!AQ39+'F5b DELTA ER'!AQ39</f>
        <v>0</v>
      </c>
      <c r="AR39" s="649">
        <f>'F2 Weiterführung ER'!AR39+'F5b DELTA ER'!AR39</f>
        <v>0</v>
      </c>
      <c r="AS39" s="595">
        <f>'F2 Weiterführung ER'!AS39+'F5b DELTA ER'!AS39</f>
        <v>0</v>
      </c>
      <c r="AU39" s="646">
        <f>'F2 Weiterführung ER'!AU39</f>
        <v>0</v>
      </c>
      <c r="AV39" s="647">
        <f>'F2 Weiterführung ER'!AV39</f>
        <v>0</v>
      </c>
      <c r="AW39" s="648">
        <f>'F2 Weiterführung ER'!AW39+'F5b DELTA ER'!AW39</f>
        <v>0</v>
      </c>
      <c r="AX39" s="649">
        <f>'F2 Weiterführung ER'!AX39+'F5b DELTA ER'!AX39</f>
        <v>0</v>
      </c>
      <c r="AY39" s="649">
        <f>'F2 Weiterführung ER'!AY39+'F5b DELTA ER'!AY39</f>
        <v>0</v>
      </c>
      <c r="AZ39" s="649">
        <f>'F2 Weiterführung ER'!AZ39+'F5b DELTA ER'!AZ39</f>
        <v>0</v>
      </c>
      <c r="BA39" s="595">
        <f>'F2 Weiterführung ER'!BA39+'F5b DELTA ER'!BA39</f>
        <v>0</v>
      </c>
      <c r="BC39" s="646">
        <f>'F2 Weiterführung ER'!BC39</f>
        <v>5930</v>
      </c>
      <c r="BD39" s="647">
        <f>'F2 Weiterführung ER'!BD39</f>
        <v>6225</v>
      </c>
      <c r="BE39" s="648">
        <f>'F2 Weiterführung ER'!BE39+'F5b DELTA ER'!BE39</f>
        <v>6412.9949999999999</v>
      </c>
      <c r="BF39" s="649">
        <f>'F2 Weiterführung ER'!BF39+'F5b DELTA ER'!BF39</f>
        <v>6541.8961995</v>
      </c>
      <c r="BG39" s="649">
        <f>'F2 Weiterführung ER'!BG39+'F5b DELTA ER'!BG39</f>
        <v>6739.4614647249</v>
      </c>
      <c r="BH39" s="649">
        <f>'F2 Weiterführung ER'!BH39+'F5b DELTA ER'!BH39</f>
        <v>6874.9246401658702</v>
      </c>
      <c r="BI39" s="595">
        <f>'F2 Weiterführung ER'!BI39+'F5b DELTA ER'!BI39</f>
        <v>7082.5473642988791</v>
      </c>
    </row>
    <row r="40" spans="2:62" ht="11.1" customHeight="1">
      <c r="B40" s="374"/>
      <c r="C40" s="428">
        <v>401</v>
      </c>
      <c r="D40" s="1436" t="s">
        <v>92</v>
      </c>
      <c r="E40" s="1436"/>
      <c r="F40" s="1437"/>
      <c r="G40" s="646">
        <f>'F2 Weiterführung ER'!G40</f>
        <v>975</v>
      </c>
      <c r="H40" s="647">
        <f>'F2 Weiterführung ER'!H40</f>
        <v>1120</v>
      </c>
      <c r="I40" s="648">
        <f>'F2 Weiterführung ER'!I40+'F5b DELTA ER'!I40</f>
        <v>1131.2</v>
      </c>
      <c r="J40" s="649">
        <f>'F2 Weiterführung ER'!J40+'F5b DELTA ER'!J40</f>
        <v>1153.8240000000001</v>
      </c>
      <c r="K40" s="649">
        <f>'F2 Weiterführung ER'!K40+'F5b DELTA ER'!K40</f>
        <v>1165.3622400000002</v>
      </c>
      <c r="L40" s="649">
        <f>'F2 Weiterführung ER'!L40+'F5b DELTA ER'!L40</f>
        <v>1188.6694848000002</v>
      </c>
      <c r="M40" s="595">
        <f>'F2 Weiterführung ER'!M40+'F5b DELTA ER'!M40</f>
        <v>1200.5561796480001</v>
      </c>
      <c r="N40" s="602" t="str">
        <f t="shared" si="41"/>
        <v/>
      </c>
      <c r="O40" s="646">
        <f>'F2 Weiterführung ER'!O40</f>
        <v>0</v>
      </c>
      <c r="P40" s="647">
        <f>'F2 Weiterführung ER'!P40</f>
        <v>0</v>
      </c>
      <c r="Q40" s="648">
        <f>'F2 Weiterführung ER'!Q40+'F5b DELTA ER'!Q40</f>
        <v>0</v>
      </c>
      <c r="R40" s="649">
        <f>'F2 Weiterführung ER'!R40+'F5b DELTA ER'!R40</f>
        <v>0</v>
      </c>
      <c r="S40" s="649">
        <f>'F2 Weiterführung ER'!S40+'F5b DELTA ER'!S40</f>
        <v>0</v>
      </c>
      <c r="T40" s="649">
        <f>'F2 Weiterführung ER'!T40+'F5b DELTA ER'!T40</f>
        <v>0</v>
      </c>
      <c r="U40" s="595">
        <f>'F2 Weiterführung ER'!U40+'F5b DELTA ER'!U40</f>
        <v>0</v>
      </c>
      <c r="W40" s="646">
        <f>'F2 Weiterführung ER'!W40</f>
        <v>0</v>
      </c>
      <c r="X40" s="647">
        <f>'F2 Weiterführung ER'!X40</f>
        <v>0</v>
      </c>
      <c r="Y40" s="648">
        <f>'F2 Weiterführung ER'!Y40+'F5b DELTA ER'!Y40</f>
        <v>0</v>
      </c>
      <c r="Z40" s="649">
        <f>'F2 Weiterführung ER'!Z40+'F5b DELTA ER'!Z40</f>
        <v>0</v>
      </c>
      <c r="AA40" s="649">
        <f>'F2 Weiterführung ER'!AA40+'F5b DELTA ER'!AA40</f>
        <v>0</v>
      </c>
      <c r="AB40" s="649">
        <f>'F2 Weiterführung ER'!AB40+'F5b DELTA ER'!AB40</f>
        <v>0</v>
      </c>
      <c r="AC40" s="595">
        <f>'F2 Weiterführung ER'!AC40+'F5b DELTA ER'!AC40</f>
        <v>0</v>
      </c>
      <c r="AE40" s="646">
        <f>'F2 Weiterführung ER'!AE40</f>
        <v>0</v>
      </c>
      <c r="AF40" s="647">
        <f>'F2 Weiterführung ER'!AF40</f>
        <v>0</v>
      </c>
      <c r="AG40" s="648">
        <f>'F2 Weiterführung ER'!AG40+'F5b DELTA ER'!AG40</f>
        <v>0</v>
      </c>
      <c r="AH40" s="649">
        <f>'F2 Weiterführung ER'!AH40+'F5b DELTA ER'!AH40</f>
        <v>0</v>
      </c>
      <c r="AI40" s="649">
        <f>'F2 Weiterführung ER'!AI40+'F5b DELTA ER'!AI40</f>
        <v>0</v>
      </c>
      <c r="AJ40" s="649">
        <f>'F2 Weiterführung ER'!AJ40+'F5b DELTA ER'!AJ40</f>
        <v>0</v>
      </c>
      <c r="AK40" s="595">
        <f>'F2 Weiterführung ER'!AK40+'F5b DELTA ER'!AK40</f>
        <v>0</v>
      </c>
      <c r="AM40" s="646">
        <f>'F2 Weiterführung ER'!AM40</f>
        <v>0</v>
      </c>
      <c r="AN40" s="647">
        <f>'F2 Weiterführung ER'!AN40</f>
        <v>0</v>
      </c>
      <c r="AO40" s="648">
        <f>'F2 Weiterführung ER'!AO40+'F5b DELTA ER'!AO40</f>
        <v>0</v>
      </c>
      <c r="AP40" s="649">
        <f>'F2 Weiterführung ER'!AP40+'F5b DELTA ER'!AP40</f>
        <v>0</v>
      </c>
      <c r="AQ40" s="649">
        <f>'F2 Weiterführung ER'!AQ40+'F5b DELTA ER'!AQ40</f>
        <v>0</v>
      </c>
      <c r="AR40" s="649">
        <f>'F2 Weiterführung ER'!AR40+'F5b DELTA ER'!AR40</f>
        <v>0</v>
      </c>
      <c r="AS40" s="595">
        <f>'F2 Weiterführung ER'!AS40+'F5b DELTA ER'!AS40</f>
        <v>0</v>
      </c>
      <c r="AU40" s="646">
        <f>'F2 Weiterführung ER'!AU40</f>
        <v>0</v>
      </c>
      <c r="AV40" s="647">
        <f>'F2 Weiterführung ER'!AV40</f>
        <v>0</v>
      </c>
      <c r="AW40" s="648">
        <f>'F2 Weiterführung ER'!AW40+'F5b DELTA ER'!AW40</f>
        <v>0</v>
      </c>
      <c r="AX40" s="649">
        <f>'F2 Weiterführung ER'!AX40+'F5b DELTA ER'!AX40</f>
        <v>0</v>
      </c>
      <c r="AY40" s="649">
        <f>'F2 Weiterführung ER'!AY40+'F5b DELTA ER'!AY40</f>
        <v>0</v>
      </c>
      <c r="AZ40" s="649">
        <f>'F2 Weiterführung ER'!AZ40+'F5b DELTA ER'!AZ40</f>
        <v>0</v>
      </c>
      <c r="BA40" s="595">
        <f>'F2 Weiterführung ER'!BA40+'F5b DELTA ER'!BA40</f>
        <v>0</v>
      </c>
      <c r="BC40" s="646">
        <f>'F2 Weiterführung ER'!BC40</f>
        <v>975</v>
      </c>
      <c r="BD40" s="647">
        <f>'F2 Weiterführung ER'!BD40</f>
        <v>1120</v>
      </c>
      <c r="BE40" s="648">
        <f>'F2 Weiterführung ER'!BE40+'F5b DELTA ER'!BE40</f>
        <v>1131.2</v>
      </c>
      <c r="BF40" s="649">
        <f>'F2 Weiterführung ER'!BF40+'F5b DELTA ER'!BF40</f>
        <v>1153.8240000000001</v>
      </c>
      <c r="BG40" s="649">
        <f>'F2 Weiterführung ER'!BG40+'F5b DELTA ER'!BG40</f>
        <v>1165.3622400000002</v>
      </c>
      <c r="BH40" s="649">
        <f>'F2 Weiterführung ER'!BH40+'F5b DELTA ER'!BH40</f>
        <v>1188.6694848000002</v>
      </c>
      <c r="BI40" s="595">
        <f>'F2 Weiterführung ER'!BI40+'F5b DELTA ER'!BI40</f>
        <v>1200.5561796480001</v>
      </c>
    </row>
    <row r="41" spans="2:62" ht="11.1" customHeight="1">
      <c r="B41" s="374"/>
      <c r="C41" s="428">
        <v>402</v>
      </c>
      <c r="D41" s="1436" t="s">
        <v>162</v>
      </c>
      <c r="E41" s="1436"/>
      <c r="F41" s="1437"/>
      <c r="G41" s="646">
        <f>'F2 Weiterführung ER'!G41</f>
        <v>220</v>
      </c>
      <c r="H41" s="647">
        <f>'F2 Weiterführung ER'!H41</f>
        <v>220</v>
      </c>
      <c r="I41" s="648">
        <f>'F2 Weiterführung ER'!I41+'F5b DELTA ER'!I41</f>
        <v>230</v>
      </c>
      <c r="J41" s="649">
        <f>'F2 Weiterführung ER'!J41+'F5b DELTA ER'!J41</f>
        <v>245</v>
      </c>
      <c r="K41" s="649">
        <f>'F2 Weiterführung ER'!K41+'F5b DELTA ER'!K41</f>
        <v>220</v>
      </c>
      <c r="L41" s="649">
        <f>'F2 Weiterführung ER'!L41+'F5b DELTA ER'!L41</f>
        <v>195</v>
      </c>
      <c r="M41" s="595">
        <f>'F2 Weiterführung ER'!M41+'F5b DELTA ER'!M41</f>
        <v>195</v>
      </c>
      <c r="N41" s="602" t="str">
        <f t="shared" si="41"/>
        <v/>
      </c>
      <c r="O41" s="646">
        <f>'F2 Weiterführung ER'!O41</f>
        <v>0</v>
      </c>
      <c r="P41" s="647">
        <f>'F2 Weiterführung ER'!P41</f>
        <v>0</v>
      </c>
      <c r="Q41" s="648">
        <f>'F2 Weiterführung ER'!Q41+'F5b DELTA ER'!Q41</f>
        <v>0</v>
      </c>
      <c r="R41" s="649">
        <f>'F2 Weiterführung ER'!R41+'F5b DELTA ER'!R41</f>
        <v>0</v>
      </c>
      <c r="S41" s="649">
        <f>'F2 Weiterführung ER'!S41+'F5b DELTA ER'!S41</f>
        <v>0</v>
      </c>
      <c r="T41" s="649">
        <f>'F2 Weiterführung ER'!T41+'F5b DELTA ER'!T41</f>
        <v>0</v>
      </c>
      <c r="U41" s="595">
        <f>'F2 Weiterführung ER'!U41+'F5b DELTA ER'!U41</f>
        <v>0</v>
      </c>
      <c r="W41" s="646">
        <f>'F2 Weiterführung ER'!W41</f>
        <v>0</v>
      </c>
      <c r="X41" s="647">
        <f>'F2 Weiterführung ER'!X41</f>
        <v>0</v>
      </c>
      <c r="Y41" s="648">
        <f>'F2 Weiterführung ER'!Y41+'F5b DELTA ER'!Y41</f>
        <v>0</v>
      </c>
      <c r="Z41" s="649">
        <f>'F2 Weiterführung ER'!Z41+'F5b DELTA ER'!Z41</f>
        <v>0</v>
      </c>
      <c r="AA41" s="649">
        <f>'F2 Weiterführung ER'!AA41+'F5b DELTA ER'!AA41</f>
        <v>0</v>
      </c>
      <c r="AB41" s="649">
        <f>'F2 Weiterführung ER'!AB41+'F5b DELTA ER'!AB41</f>
        <v>0</v>
      </c>
      <c r="AC41" s="595">
        <f>'F2 Weiterführung ER'!AC41+'F5b DELTA ER'!AC41</f>
        <v>0</v>
      </c>
      <c r="AE41" s="646">
        <f>'F2 Weiterführung ER'!AE41</f>
        <v>0</v>
      </c>
      <c r="AF41" s="647">
        <f>'F2 Weiterführung ER'!AF41</f>
        <v>0</v>
      </c>
      <c r="AG41" s="648">
        <f>'F2 Weiterführung ER'!AG41+'F5b DELTA ER'!AG41</f>
        <v>0</v>
      </c>
      <c r="AH41" s="649">
        <f>'F2 Weiterführung ER'!AH41+'F5b DELTA ER'!AH41</f>
        <v>0</v>
      </c>
      <c r="AI41" s="649">
        <f>'F2 Weiterführung ER'!AI41+'F5b DELTA ER'!AI41</f>
        <v>0</v>
      </c>
      <c r="AJ41" s="649">
        <f>'F2 Weiterführung ER'!AJ41+'F5b DELTA ER'!AJ41</f>
        <v>0</v>
      </c>
      <c r="AK41" s="595">
        <f>'F2 Weiterführung ER'!AK41+'F5b DELTA ER'!AK41</f>
        <v>0</v>
      </c>
      <c r="AM41" s="646">
        <f>'F2 Weiterführung ER'!AM41</f>
        <v>0</v>
      </c>
      <c r="AN41" s="647">
        <f>'F2 Weiterführung ER'!AN41</f>
        <v>0</v>
      </c>
      <c r="AO41" s="648">
        <f>'F2 Weiterführung ER'!AO41+'F5b DELTA ER'!AO41</f>
        <v>0</v>
      </c>
      <c r="AP41" s="649">
        <f>'F2 Weiterführung ER'!AP41+'F5b DELTA ER'!AP41</f>
        <v>0</v>
      </c>
      <c r="AQ41" s="649">
        <f>'F2 Weiterführung ER'!AQ41+'F5b DELTA ER'!AQ41</f>
        <v>0</v>
      </c>
      <c r="AR41" s="649">
        <f>'F2 Weiterführung ER'!AR41+'F5b DELTA ER'!AR41</f>
        <v>0</v>
      </c>
      <c r="AS41" s="595">
        <f>'F2 Weiterführung ER'!AS41+'F5b DELTA ER'!AS41</f>
        <v>0</v>
      </c>
      <c r="AU41" s="646">
        <f>'F2 Weiterführung ER'!AU41</f>
        <v>0</v>
      </c>
      <c r="AV41" s="647">
        <f>'F2 Weiterführung ER'!AV41</f>
        <v>0</v>
      </c>
      <c r="AW41" s="648">
        <f>'F2 Weiterführung ER'!AW41+'F5b DELTA ER'!AW41</f>
        <v>0</v>
      </c>
      <c r="AX41" s="649">
        <f>'F2 Weiterführung ER'!AX41+'F5b DELTA ER'!AX41</f>
        <v>0</v>
      </c>
      <c r="AY41" s="649">
        <f>'F2 Weiterführung ER'!AY41+'F5b DELTA ER'!AY41</f>
        <v>0</v>
      </c>
      <c r="AZ41" s="649">
        <f>'F2 Weiterführung ER'!AZ41+'F5b DELTA ER'!AZ41</f>
        <v>0</v>
      </c>
      <c r="BA41" s="595">
        <f>'F2 Weiterführung ER'!BA41+'F5b DELTA ER'!BA41</f>
        <v>0</v>
      </c>
      <c r="BC41" s="646">
        <f>'F2 Weiterführung ER'!BC41</f>
        <v>220</v>
      </c>
      <c r="BD41" s="647">
        <f>'F2 Weiterführung ER'!BD41</f>
        <v>220</v>
      </c>
      <c r="BE41" s="648">
        <f>'F2 Weiterführung ER'!BE41+'F5b DELTA ER'!BE41</f>
        <v>230</v>
      </c>
      <c r="BF41" s="649">
        <f>'F2 Weiterführung ER'!BF41+'F5b DELTA ER'!BF41</f>
        <v>245</v>
      </c>
      <c r="BG41" s="649">
        <f>'F2 Weiterführung ER'!BG41+'F5b DELTA ER'!BG41</f>
        <v>220</v>
      </c>
      <c r="BH41" s="649">
        <f>'F2 Weiterführung ER'!BH41+'F5b DELTA ER'!BH41</f>
        <v>195</v>
      </c>
      <c r="BI41" s="595">
        <f>'F2 Weiterführung ER'!BI41+'F5b DELTA ER'!BI41</f>
        <v>195</v>
      </c>
    </row>
    <row r="42" spans="2:62" ht="11.1" customHeight="1">
      <c r="B42" s="374"/>
      <c r="C42" s="428">
        <v>403</v>
      </c>
      <c r="D42" s="1436" t="s">
        <v>81</v>
      </c>
      <c r="E42" s="1436"/>
      <c r="F42" s="1437"/>
      <c r="G42" s="646">
        <f>'F2 Weiterführung ER'!G42</f>
        <v>19</v>
      </c>
      <c r="H42" s="647">
        <f>'F2 Weiterführung ER'!H42</f>
        <v>19</v>
      </c>
      <c r="I42" s="648">
        <f>'F2 Weiterführung ER'!I42+'F5b DELTA ER'!I42</f>
        <v>19.190000000000001</v>
      </c>
      <c r="J42" s="649">
        <f>'F2 Weiterführung ER'!J42+'F5b DELTA ER'!J42</f>
        <v>19.381900000000002</v>
      </c>
      <c r="K42" s="649">
        <f>'F2 Weiterführung ER'!K42+'F5b DELTA ER'!K42</f>
        <v>19.575719000000003</v>
      </c>
      <c r="L42" s="649">
        <f>'F2 Weiterführung ER'!L42+'F5b DELTA ER'!L42</f>
        <v>19.771476190000005</v>
      </c>
      <c r="M42" s="595">
        <f>'F2 Weiterführung ER'!M42+'F5b DELTA ER'!M42</f>
        <v>19.969190951900003</v>
      </c>
      <c r="N42" s="602" t="str">
        <f t="shared" si="41"/>
        <v/>
      </c>
      <c r="O42" s="646">
        <f>'F2 Weiterführung ER'!O42</f>
        <v>0</v>
      </c>
      <c r="P42" s="647">
        <f>'F2 Weiterführung ER'!P42</f>
        <v>0</v>
      </c>
      <c r="Q42" s="648">
        <f>'F2 Weiterführung ER'!Q42+'F5b DELTA ER'!Q42</f>
        <v>0</v>
      </c>
      <c r="R42" s="649">
        <f>'F2 Weiterführung ER'!R42+'F5b DELTA ER'!R42</f>
        <v>0</v>
      </c>
      <c r="S42" s="649">
        <f>'F2 Weiterführung ER'!S42+'F5b DELTA ER'!S42</f>
        <v>0</v>
      </c>
      <c r="T42" s="649">
        <f>'F2 Weiterführung ER'!T42+'F5b DELTA ER'!T42</f>
        <v>0</v>
      </c>
      <c r="U42" s="595">
        <f>'F2 Weiterführung ER'!U42+'F5b DELTA ER'!U42</f>
        <v>0</v>
      </c>
      <c r="W42" s="646">
        <f>'F2 Weiterführung ER'!W42</f>
        <v>0</v>
      </c>
      <c r="X42" s="647">
        <f>'F2 Weiterführung ER'!X42</f>
        <v>0</v>
      </c>
      <c r="Y42" s="648">
        <f>'F2 Weiterführung ER'!Y42+'F5b DELTA ER'!Y42</f>
        <v>0</v>
      </c>
      <c r="Z42" s="649">
        <f>'F2 Weiterführung ER'!Z42+'F5b DELTA ER'!Z42</f>
        <v>0</v>
      </c>
      <c r="AA42" s="649">
        <f>'F2 Weiterführung ER'!AA42+'F5b DELTA ER'!AA42</f>
        <v>0</v>
      </c>
      <c r="AB42" s="649">
        <f>'F2 Weiterführung ER'!AB42+'F5b DELTA ER'!AB42</f>
        <v>0</v>
      </c>
      <c r="AC42" s="595">
        <f>'F2 Weiterführung ER'!AC42+'F5b DELTA ER'!AC42</f>
        <v>0</v>
      </c>
      <c r="AE42" s="646">
        <f>'F2 Weiterführung ER'!AE42</f>
        <v>0</v>
      </c>
      <c r="AF42" s="647">
        <f>'F2 Weiterführung ER'!AF42</f>
        <v>0</v>
      </c>
      <c r="AG42" s="648">
        <f>'F2 Weiterführung ER'!AG42+'F5b DELTA ER'!AG42</f>
        <v>0</v>
      </c>
      <c r="AH42" s="649">
        <f>'F2 Weiterführung ER'!AH42+'F5b DELTA ER'!AH42</f>
        <v>0</v>
      </c>
      <c r="AI42" s="649">
        <f>'F2 Weiterführung ER'!AI42+'F5b DELTA ER'!AI42</f>
        <v>0</v>
      </c>
      <c r="AJ42" s="649">
        <f>'F2 Weiterführung ER'!AJ42+'F5b DELTA ER'!AJ42</f>
        <v>0</v>
      </c>
      <c r="AK42" s="595">
        <f>'F2 Weiterführung ER'!AK42+'F5b DELTA ER'!AK42</f>
        <v>0</v>
      </c>
      <c r="AM42" s="646">
        <f>'F2 Weiterführung ER'!AM42</f>
        <v>0</v>
      </c>
      <c r="AN42" s="647">
        <f>'F2 Weiterführung ER'!AN42</f>
        <v>0</v>
      </c>
      <c r="AO42" s="648">
        <f>'F2 Weiterführung ER'!AO42+'F5b DELTA ER'!AO42</f>
        <v>0</v>
      </c>
      <c r="AP42" s="649">
        <f>'F2 Weiterführung ER'!AP42+'F5b DELTA ER'!AP42</f>
        <v>0</v>
      </c>
      <c r="AQ42" s="649">
        <f>'F2 Weiterführung ER'!AQ42+'F5b DELTA ER'!AQ42</f>
        <v>0</v>
      </c>
      <c r="AR42" s="649">
        <f>'F2 Weiterführung ER'!AR42+'F5b DELTA ER'!AR42</f>
        <v>0</v>
      </c>
      <c r="AS42" s="595">
        <f>'F2 Weiterführung ER'!AS42+'F5b DELTA ER'!AS42</f>
        <v>0</v>
      </c>
      <c r="AU42" s="646">
        <f>'F2 Weiterführung ER'!AU42</f>
        <v>0</v>
      </c>
      <c r="AV42" s="647">
        <f>'F2 Weiterführung ER'!AV42</f>
        <v>0</v>
      </c>
      <c r="AW42" s="648">
        <f>'F2 Weiterführung ER'!AW42+'F5b DELTA ER'!AW42</f>
        <v>0</v>
      </c>
      <c r="AX42" s="649">
        <f>'F2 Weiterführung ER'!AX42+'F5b DELTA ER'!AX42</f>
        <v>0</v>
      </c>
      <c r="AY42" s="649">
        <f>'F2 Weiterführung ER'!AY42+'F5b DELTA ER'!AY42</f>
        <v>0</v>
      </c>
      <c r="AZ42" s="649">
        <f>'F2 Weiterführung ER'!AZ42+'F5b DELTA ER'!AZ42</f>
        <v>0</v>
      </c>
      <c r="BA42" s="595">
        <f>'F2 Weiterführung ER'!BA42+'F5b DELTA ER'!BA42</f>
        <v>0</v>
      </c>
      <c r="BC42" s="646">
        <f>'F2 Weiterführung ER'!BC42</f>
        <v>19</v>
      </c>
      <c r="BD42" s="647">
        <f>'F2 Weiterführung ER'!BD42</f>
        <v>19</v>
      </c>
      <c r="BE42" s="648">
        <f>'F2 Weiterführung ER'!BE42+'F5b DELTA ER'!BE42</f>
        <v>19.190000000000001</v>
      </c>
      <c r="BF42" s="649">
        <f>'F2 Weiterführung ER'!BF42+'F5b DELTA ER'!BF42</f>
        <v>19.381900000000002</v>
      </c>
      <c r="BG42" s="649">
        <f>'F2 Weiterführung ER'!BG42+'F5b DELTA ER'!BG42</f>
        <v>19.575719000000003</v>
      </c>
      <c r="BH42" s="649">
        <f>'F2 Weiterführung ER'!BH42+'F5b DELTA ER'!BH42</f>
        <v>19.771476190000005</v>
      </c>
      <c r="BI42" s="595">
        <f>'F2 Weiterführung ER'!BI42+'F5b DELTA ER'!BI42</f>
        <v>19.969190951900003</v>
      </c>
    </row>
    <row r="43" spans="2:62" ht="11.1" customHeight="1">
      <c r="B43" s="374">
        <v>41</v>
      </c>
      <c r="C43" s="383"/>
      <c r="D43" s="1412" t="s">
        <v>18</v>
      </c>
      <c r="E43" s="1412"/>
      <c r="F43" s="1413"/>
      <c r="G43" s="420">
        <f>'F2 Weiterführung ER'!G43</f>
        <v>290</v>
      </c>
      <c r="H43" s="421">
        <f>'F2 Weiterführung ER'!H43</f>
        <v>270</v>
      </c>
      <c r="I43" s="422">
        <f>'F2 Weiterführung ER'!I43+'F5b DELTA ER'!I43</f>
        <v>272.7</v>
      </c>
      <c r="J43" s="420">
        <f>'F2 Weiterführung ER'!J43+'F5b DELTA ER'!J43</f>
        <v>275.42699999999996</v>
      </c>
      <c r="K43" s="420">
        <f>'F2 Weiterführung ER'!K43+'F5b DELTA ER'!K43</f>
        <v>278.18126999999998</v>
      </c>
      <c r="L43" s="420">
        <f>'F2 Weiterführung ER'!L43+'F5b DELTA ER'!L43</f>
        <v>280.96308269999997</v>
      </c>
      <c r="M43" s="423">
        <f>'F2 Weiterführung ER'!M43+'F5b DELTA ER'!M43</f>
        <v>283.77271352699995</v>
      </c>
      <c r="N43" s="602" t="str">
        <f t="shared" si="41"/>
        <v/>
      </c>
      <c r="O43" s="420">
        <f>'F2 Weiterführung ER'!O43</f>
        <v>1</v>
      </c>
      <c r="P43" s="421">
        <f>'F2 Weiterführung ER'!P43</f>
        <v>1</v>
      </c>
      <c r="Q43" s="422">
        <f>'F2 Weiterführung ER'!Q43+'F5b DELTA ER'!Q43</f>
        <v>1.01</v>
      </c>
      <c r="R43" s="420">
        <f>'F2 Weiterführung ER'!R43+'F5b DELTA ER'!R43</f>
        <v>1.0201</v>
      </c>
      <c r="S43" s="420">
        <f>'F2 Weiterführung ER'!S43+'F5b DELTA ER'!S43</f>
        <v>1.0303009999999999</v>
      </c>
      <c r="T43" s="420">
        <f>'F2 Weiterführung ER'!T43+'F5b DELTA ER'!T43</f>
        <v>1.04060401</v>
      </c>
      <c r="U43" s="423">
        <f>'F2 Weiterführung ER'!U43+'F5b DELTA ER'!U43</f>
        <v>1.0510100500999999</v>
      </c>
      <c r="W43" s="420">
        <f>'F2 Weiterführung ER'!W43</f>
        <v>0</v>
      </c>
      <c r="X43" s="421">
        <f>'F2 Weiterführung ER'!X43</f>
        <v>0</v>
      </c>
      <c r="Y43" s="422">
        <f>'F2 Weiterführung ER'!Y43+'F5b DELTA ER'!Y43</f>
        <v>0</v>
      </c>
      <c r="Z43" s="420">
        <f>'F2 Weiterführung ER'!Z43+'F5b DELTA ER'!Z43</f>
        <v>0</v>
      </c>
      <c r="AA43" s="420">
        <f>'F2 Weiterführung ER'!AA43+'F5b DELTA ER'!AA43</f>
        <v>0</v>
      </c>
      <c r="AB43" s="420">
        <f>'F2 Weiterführung ER'!AB43+'F5b DELTA ER'!AB43</f>
        <v>0</v>
      </c>
      <c r="AC43" s="423">
        <f>'F2 Weiterführung ER'!AC43+'F5b DELTA ER'!AC43</f>
        <v>0</v>
      </c>
      <c r="AE43" s="420">
        <f>'F2 Weiterführung ER'!AE43</f>
        <v>0</v>
      </c>
      <c r="AF43" s="421">
        <f>'F2 Weiterführung ER'!AF43</f>
        <v>0</v>
      </c>
      <c r="AG43" s="422">
        <f>'F2 Weiterführung ER'!AG43+'F5b DELTA ER'!AG43</f>
        <v>0</v>
      </c>
      <c r="AH43" s="420">
        <f>'F2 Weiterführung ER'!AH43+'F5b DELTA ER'!AH43</f>
        <v>0</v>
      </c>
      <c r="AI43" s="420">
        <f>'F2 Weiterführung ER'!AI43+'F5b DELTA ER'!AI43</f>
        <v>0</v>
      </c>
      <c r="AJ43" s="420">
        <f>'F2 Weiterführung ER'!AJ43+'F5b DELTA ER'!AJ43</f>
        <v>0</v>
      </c>
      <c r="AK43" s="423">
        <f>'F2 Weiterführung ER'!AK43+'F5b DELTA ER'!AK43</f>
        <v>0</v>
      </c>
      <c r="AM43" s="420">
        <f>'F2 Weiterführung ER'!AM43</f>
        <v>0</v>
      </c>
      <c r="AN43" s="421">
        <f>'F2 Weiterführung ER'!AN43</f>
        <v>0</v>
      </c>
      <c r="AO43" s="422">
        <f>'F2 Weiterführung ER'!AO43+'F5b DELTA ER'!AO43</f>
        <v>0</v>
      </c>
      <c r="AP43" s="420">
        <f>'F2 Weiterführung ER'!AP43+'F5b DELTA ER'!AP43</f>
        <v>0</v>
      </c>
      <c r="AQ43" s="420">
        <f>'F2 Weiterführung ER'!AQ43+'F5b DELTA ER'!AQ43</f>
        <v>0</v>
      </c>
      <c r="AR43" s="420">
        <f>'F2 Weiterführung ER'!AR43+'F5b DELTA ER'!AR43</f>
        <v>0</v>
      </c>
      <c r="AS43" s="423">
        <f>'F2 Weiterführung ER'!AS43+'F5b DELTA ER'!AS43</f>
        <v>0</v>
      </c>
      <c r="AU43" s="420">
        <f>'F2 Weiterführung ER'!AU43</f>
        <v>19</v>
      </c>
      <c r="AV43" s="421">
        <f>'F2 Weiterführung ER'!AV43</f>
        <v>19</v>
      </c>
      <c r="AW43" s="422">
        <f>'F2 Weiterführung ER'!AW43+'F5b DELTA ER'!AW43</f>
        <v>19.190000000000001</v>
      </c>
      <c r="AX43" s="420">
        <f>'F2 Weiterführung ER'!AX43+'F5b DELTA ER'!AX43</f>
        <v>19.381900000000002</v>
      </c>
      <c r="AY43" s="420">
        <f>'F2 Weiterführung ER'!AY43+'F5b DELTA ER'!AY43</f>
        <v>19.575719000000003</v>
      </c>
      <c r="AZ43" s="420">
        <f>'F2 Weiterführung ER'!AZ43+'F5b DELTA ER'!AZ43</f>
        <v>19.771476190000005</v>
      </c>
      <c r="BA43" s="423">
        <f>'F2 Weiterführung ER'!BA43+'F5b DELTA ER'!BA43</f>
        <v>19.969190951900003</v>
      </c>
      <c r="BC43" s="420">
        <f>'F2 Weiterführung ER'!BC43</f>
        <v>270</v>
      </c>
      <c r="BD43" s="421">
        <f>'F2 Weiterführung ER'!BD43</f>
        <v>250</v>
      </c>
      <c r="BE43" s="422">
        <f>'F2 Weiterführung ER'!BE43+'F5b DELTA ER'!BE43</f>
        <v>252.5</v>
      </c>
      <c r="BF43" s="420">
        <f>'F2 Weiterführung ER'!BF43+'F5b DELTA ER'!BF43</f>
        <v>255.02500000000001</v>
      </c>
      <c r="BG43" s="420">
        <f>'F2 Weiterführung ER'!BG43+'F5b DELTA ER'!BG43</f>
        <v>257.57524999999998</v>
      </c>
      <c r="BH43" s="420">
        <f>'F2 Weiterführung ER'!BH43+'F5b DELTA ER'!BH43</f>
        <v>260.1510025</v>
      </c>
      <c r="BI43" s="423">
        <f>'F2 Weiterführung ER'!BI43+'F5b DELTA ER'!BI43</f>
        <v>262.75251252499999</v>
      </c>
    </row>
    <row r="44" spans="2:62" ht="11.1" customHeight="1">
      <c r="B44" s="374">
        <v>42</v>
      </c>
      <c r="C44" s="383"/>
      <c r="D44" s="1412" t="s">
        <v>19</v>
      </c>
      <c r="E44" s="1412"/>
      <c r="F44" s="1413"/>
      <c r="G44" s="420">
        <f>'F2 Weiterführung ER'!G44</f>
        <v>6272</v>
      </c>
      <c r="H44" s="421">
        <f>'F2 Weiterführung ER'!H44</f>
        <v>6478</v>
      </c>
      <c r="I44" s="422">
        <f>'F2 Weiterführung ER'!I44+'F5b DELTA ER'!I44</f>
        <v>6542.78</v>
      </c>
      <c r="J44" s="420">
        <f>'F2 Weiterführung ER'!J44+'F5b DELTA ER'!J44</f>
        <v>6608.2078000000001</v>
      </c>
      <c r="K44" s="420">
        <f>'F2 Weiterführung ER'!K44+'F5b DELTA ER'!K44</f>
        <v>6674.2898780000005</v>
      </c>
      <c r="L44" s="420">
        <f>'F2 Weiterführung ER'!L44+'F5b DELTA ER'!L44</f>
        <v>6741.0327767800009</v>
      </c>
      <c r="M44" s="423">
        <f>'F2 Weiterführung ER'!M44+'F5b DELTA ER'!M44</f>
        <v>6808.4431045478013</v>
      </c>
      <c r="N44" s="602" t="str">
        <f t="shared" si="41"/>
        <v/>
      </c>
      <c r="O44" s="420">
        <f>'F2 Weiterführung ER'!O44</f>
        <v>56</v>
      </c>
      <c r="P44" s="421">
        <f>'F2 Weiterführung ER'!P44</f>
        <v>39</v>
      </c>
      <c r="Q44" s="422">
        <f>'F2 Weiterführung ER'!Q44+'F5b DELTA ER'!Q44</f>
        <v>39.39</v>
      </c>
      <c r="R44" s="420">
        <f>'F2 Weiterführung ER'!R44+'F5b DELTA ER'!R44</f>
        <v>39.783900000000003</v>
      </c>
      <c r="S44" s="420">
        <f>'F2 Weiterführung ER'!S44+'F5b DELTA ER'!S44</f>
        <v>40.181739</v>
      </c>
      <c r="T44" s="420">
        <f>'F2 Weiterführung ER'!T44+'F5b DELTA ER'!T44</f>
        <v>40.583556389999998</v>
      </c>
      <c r="U44" s="423">
        <f>'F2 Weiterführung ER'!U44+'F5b DELTA ER'!U44</f>
        <v>40.989391953899997</v>
      </c>
      <c r="W44" s="420">
        <f>'F2 Weiterführung ER'!W44</f>
        <v>77</v>
      </c>
      <c r="X44" s="421">
        <f>'F2 Weiterführung ER'!X44</f>
        <v>110</v>
      </c>
      <c r="Y44" s="422">
        <f>'F2 Weiterführung ER'!Y44+'F5b DELTA ER'!Y44</f>
        <v>111.1</v>
      </c>
      <c r="Z44" s="420">
        <f>'F2 Weiterführung ER'!Z44+'F5b DELTA ER'!Z44</f>
        <v>112.211</v>
      </c>
      <c r="AA44" s="420">
        <f>'F2 Weiterführung ER'!AA44+'F5b DELTA ER'!AA44</f>
        <v>113.33311</v>
      </c>
      <c r="AB44" s="420">
        <f>'F2 Weiterführung ER'!AB44+'F5b DELTA ER'!AB44</f>
        <v>114.46644110000001</v>
      </c>
      <c r="AC44" s="423">
        <f>'F2 Weiterführung ER'!AC44+'F5b DELTA ER'!AC44</f>
        <v>115.61110551100002</v>
      </c>
      <c r="AE44" s="420">
        <f>'F2 Weiterführung ER'!AE44</f>
        <v>2</v>
      </c>
      <c r="AF44" s="421">
        <f>'F2 Weiterführung ER'!AF44</f>
        <v>4</v>
      </c>
      <c r="AG44" s="422">
        <f>'F2 Weiterführung ER'!AG44+'F5b DELTA ER'!AG44</f>
        <v>4.04</v>
      </c>
      <c r="AH44" s="420">
        <f>'F2 Weiterführung ER'!AH44+'F5b DELTA ER'!AH44</f>
        <v>4.0804</v>
      </c>
      <c r="AI44" s="420">
        <f>'F2 Weiterführung ER'!AI44+'F5b DELTA ER'!AI44</f>
        <v>4.1212039999999996</v>
      </c>
      <c r="AJ44" s="420">
        <f>'F2 Weiterführung ER'!AJ44+'F5b DELTA ER'!AJ44</f>
        <v>4.1624160400000001</v>
      </c>
      <c r="AK44" s="423">
        <f>'F2 Weiterführung ER'!AK44+'F5b DELTA ER'!AK44</f>
        <v>4.2040402003999997</v>
      </c>
      <c r="AM44" s="420">
        <f>'F2 Weiterführung ER'!AM44</f>
        <v>4975</v>
      </c>
      <c r="AN44" s="421">
        <f>'F2 Weiterführung ER'!AN44</f>
        <v>5106</v>
      </c>
      <c r="AO44" s="422">
        <f>'F2 Weiterführung ER'!AO44+'F5b DELTA ER'!AO44</f>
        <v>5157.0600000000004</v>
      </c>
      <c r="AP44" s="420">
        <f>'F2 Weiterführung ER'!AP44+'F5b DELTA ER'!AP44</f>
        <v>5208.6306000000004</v>
      </c>
      <c r="AQ44" s="420">
        <f>'F2 Weiterführung ER'!AQ44+'F5b DELTA ER'!AQ44</f>
        <v>5260.7169060000006</v>
      </c>
      <c r="AR44" s="420">
        <f>'F2 Weiterführung ER'!AR44+'F5b DELTA ER'!AR44</f>
        <v>5313.3240750600007</v>
      </c>
      <c r="AS44" s="423">
        <f>'F2 Weiterführung ER'!AS44+'F5b DELTA ER'!AS44</f>
        <v>5366.4573158106004</v>
      </c>
      <c r="AU44" s="420">
        <f>'F2 Weiterführung ER'!AU44</f>
        <v>1113</v>
      </c>
      <c r="AV44" s="421">
        <f>'F2 Weiterführung ER'!AV44</f>
        <v>1168</v>
      </c>
      <c r="AW44" s="422">
        <f>'F2 Weiterführung ER'!AW44+'F5b DELTA ER'!AW44</f>
        <v>1179.68</v>
      </c>
      <c r="AX44" s="420">
        <f>'F2 Weiterführung ER'!AX44+'F5b DELTA ER'!AX44</f>
        <v>1191.4768000000001</v>
      </c>
      <c r="AY44" s="420">
        <f>'F2 Weiterführung ER'!AY44+'F5b DELTA ER'!AY44</f>
        <v>1203.3915680000002</v>
      </c>
      <c r="AZ44" s="420">
        <f>'F2 Weiterführung ER'!AZ44+'F5b DELTA ER'!AZ44</f>
        <v>1215.4254836800003</v>
      </c>
      <c r="BA44" s="423">
        <f>'F2 Weiterführung ER'!BA44+'F5b DELTA ER'!BA44</f>
        <v>1227.5797385168003</v>
      </c>
      <c r="BC44" s="420">
        <f>'F2 Weiterführung ER'!BC44</f>
        <v>49</v>
      </c>
      <c r="BD44" s="421">
        <f>'F2 Weiterführung ER'!BD44</f>
        <v>51</v>
      </c>
      <c r="BE44" s="422">
        <f>'F2 Weiterführung ER'!BE44+'F5b DELTA ER'!BE44</f>
        <v>51.51</v>
      </c>
      <c r="BF44" s="420">
        <f>'F2 Weiterführung ER'!BF44+'F5b DELTA ER'!BF44</f>
        <v>52.025100000000002</v>
      </c>
      <c r="BG44" s="420">
        <f>'F2 Weiterführung ER'!BG44+'F5b DELTA ER'!BG44</f>
        <v>52.545351000000004</v>
      </c>
      <c r="BH44" s="420">
        <f>'F2 Weiterführung ER'!BH44+'F5b DELTA ER'!BH44</f>
        <v>53.070804510000002</v>
      </c>
      <c r="BI44" s="423">
        <f>'F2 Weiterführung ER'!BI44+'F5b DELTA ER'!BI44</f>
        <v>53.601512555100001</v>
      </c>
    </row>
    <row r="45" spans="2:62" ht="11.1" customHeight="1">
      <c r="B45" s="374">
        <v>43</v>
      </c>
      <c r="C45" s="383"/>
      <c r="D45" s="1412" t="s">
        <v>94</v>
      </c>
      <c r="E45" s="1412"/>
      <c r="F45" s="1413"/>
      <c r="G45" s="420">
        <f>'F2 Weiterführung ER'!G45</f>
        <v>100</v>
      </c>
      <c r="H45" s="421">
        <f>'F2 Weiterführung ER'!H45</f>
        <v>170</v>
      </c>
      <c r="I45" s="422">
        <f>'F2 Weiterführung ER'!I45+'F5b DELTA ER'!I45</f>
        <v>170</v>
      </c>
      <c r="J45" s="420">
        <f>'F2 Weiterführung ER'!J45+'F5b DELTA ER'!J45</f>
        <v>170</v>
      </c>
      <c r="K45" s="420">
        <f>'F2 Weiterführung ER'!K45+'F5b DELTA ER'!K45</f>
        <v>170</v>
      </c>
      <c r="L45" s="420">
        <f>'F2 Weiterführung ER'!L45+'F5b DELTA ER'!L45</f>
        <v>170</v>
      </c>
      <c r="M45" s="423">
        <f>'F2 Weiterführung ER'!M45+'F5b DELTA ER'!M45</f>
        <v>170</v>
      </c>
      <c r="N45" s="602" t="str">
        <f t="shared" si="41"/>
        <v/>
      </c>
      <c r="O45" s="420">
        <f>'F2 Weiterführung ER'!O45</f>
        <v>24</v>
      </c>
      <c r="P45" s="421">
        <f>'F2 Weiterführung ER'!P45</f>
        <v>24</v>
      </c>
      <c r="Q45" s="422">
        <f>'F2 Weiterführung ER'!Q45+'F5b DELTA ER'!Q45</f>
        <v>24</v>
      </c>
      <c r="R45" s="420">
        <f>'F2 Weiterführung ER'!R45+'F5b DELTA ER'!R45</f>
        <v>24</v>
      </c>
      <c r="S45" s="420">
        <f>'F2 Weiterführung ER'!S45+'F5b DELTA ER'!S45</f>
        <v>24</v>
      </c>
      <c r="T45" s="420">
        <f>'F2 Weiterführung ER'!T45+'F5b DELTA ER'!T45</f>
        <v>24</v>
      </c>
      <c r="U45" s="423">
        <f>'F2 Weiterführung ER'!U45+'F5b DELTA ER'!U45</f>
        <v>24</v>
      </c>
      <c r="W45" s="420">
        <f>'F2 Weiterführung ER'!W45</f>
        <v>0</v>
      </c>
      <c r="X45" s="421">
        <f>'F2 Weiterführung ER'!X45</f>
        <v>0</v>
      </c>
      <c r="Y45" s="422">
        <f>'F2 Weiterführung ER'!Y45+'F5b DELTA ER'!Y45</f>
        <v>0</v>
      </c>
      <c r="Z45" s="420">
        <f>'F2 Weiterführung ER'!Z45+'F5b DELTA ER'!Z45</f>
        <v>0</v>
      </c>
      <c r="AA45" s="420">
        <f>'F2 Weiterführung ER'!AA45+'F5b DELTA ER'!AA45</f>
        <v>0</v>
      </c>
      <c r="AB45" s="420">
        <f>'F2 Weiterführung ER'!AB45+'F5b DELTA ER'!AB45</f>
        <v>0</v>
      </c>
      <c r="AC45" s="423">
        <f>'F2 Weiterführung ER'!AC45+'F5b DELTA ER'!AC45</f>
        <v>0</v>
      </c>
      <c r="AE45" s="420">
        <f>'F2 Weiterführung ER'!AE45</f>
        <v>0</v>
      </c>
      <c r="AF45" s="421">
        <f>'F2 Weiterführung ER'!AF45</f>
        <v>0</v>
      </c>
      <c r="AG45" s="422">
        <f>'F2 Weiterführung ER'!AG45+'F5b DELTA ER'!AG45</f>
        <v>0</v>
      </c>
      <c r="AH45" s="420">
        <f>'F2 Weiterführung ER'!AH45+'F5b DELTA ER'!AH45</f>
        <v>0</v>
      </c>
      <c r="AI45" s="420">
        <f>'F2 Weiterführung ER'!AI45+'F5b DELTA ER'!AI45</f>
        <v>0</v>
      </c>
      <c r="AJ45" s="420">
        <f>'F2 Weiterführung ER'!AJ45+'F5b DELTA ER'!AJ45</f>
        <v>0</v>
      </c>
      <c r="AK45" s="423">
        <f>'F2 Weiterführung ER'!AK45+'F5b DELTA ER'!AK45</f>
        <v>0</v>
      </c>
      <c r="AM45" s="420">
        <f>'F2 Weiterführung ER'!AM45</f>
        <v>71</v>
      </c>
      <c r="AN45" s="421">
        <f>'F2 Weiterführung ER'!AN45</f>
        <v>141</v>
      </c>
      <c r="AO45" s="422">
        <f>'F2 Weiterführung ER'!AO45+'F5b DELTA ER'!AO45</f>
        <v>141</v>
      </c>
      <c r="AP45" s="420">
        <f>'F2 Weiterführung ER'!AP45+'F5b DELTA ER'!AP45</f>
        <v>141</v>
      </c>
      <c r="AQ45" s="420">
        <f>'F2 Weiterführung ER'!AQ45+'F5b DELTA ER'!AQ45</f>
        <v>141</v>
      </c>
      <c r="AR45" s="420">
        <f>'F2 Weiterführung ER'!AR45+'F5b DELTA ER'!AR45</f>
        <v>141</v>
      </c>
      <c r="AS45" s="423">
        <f>'F2 Weiterführung ER'!AS45+'F5b DELTA ER'!AS45</f>
        <v>141</v>
      </c>
      <c r="AU45" s="420">
        <f>'F2 Weiterführung ER'!AU45</f>
        <v>5</v>
      </c>
      <c r="AV45" s="421">
        <f>'F2 Weiterführung ER'!AV45</f>
        <v>5</v>
      </c>
      <c r="AW45" s="422">
        <f>'F2 Weiterführung ER'!AW45+'F5b DELTA ER'!AW45</f>
        <v>5</v>
      </c>
      <c r="AX45" s="420">
        <f>'F2 Weiterführung ER'!AX45+'F5b DELTA ER'!AX45</f>
        <v>5</v>
      </c>
      <c r="AY45" s="420">
        <f>'F2 Weiterführung ER'!AY45+'F5b DELTA ER'!AY45</f>
        <v>5</v>
      </c>
      <c r="AZ45" s="420">
        <f>'F2 Weiterführung ER'!AZ45+'F5b DELTA ER'!AZ45</f>
        <v>5</v>
      </c>
      <c r="BA45" s="423">
        <f>'F2 Weiterführung ER'!BA45+'F5b DELTA ER'!BA45</f>
        <v>5</v>
      </c>
      <c r="BC45" s="420">
        <f>'F2 Weiterführung ER'!BC45</f>
        <v>0</v>
      </c>
      <c r="BD45" s="421">
        <f>'F2 Weiterführung ER'!BD45</f>
        <v>0</v>
      </c>
      <c r="BE45" s="422">
        <f>'F2 Weiterführung ER'!BE45+'F5b DELTA ER'!BE45</f>
        <v>0</v>
      </c>
      <c r="BF45" s="420">
        <f>'F2 Weiterführung ER'!BF45+'F5b DELTA ER'!BF45</f>
        <v>0</v>
      </c>
      <c r="BG45" s="420">
        <f>'F2 Weiterführung ER'!BG45+'F5b DELTA ER'!BG45</f>
        <v>0</v>
      </c>
      <c r="BH45" s="420">
        <f>'F2 Weiterführung ER'!BH45+'F5b DELTA ER'!BH45</f>
        <v>0</v>
      </c>
      <c r="BI45" s="423">
        <f>'F2 Weiterführung ER'!BI45+'F5b DELTA ER'!BI45</f>
        <v>0</v>
      </c>
    </row>
    <row r="46" spans="2:62" s="660" customFormat="1" ht="11.1" customHeight="1">
      <c r="B46" s="661">
        <v>44</v>
      </c>
      <c r="C46" s="667"/>
      <c r="D46" s="1428" t="s">
        <v>95</v>
      </c>
      <c r="E46" s="1428"/>
      <c r="F46" s="1429"/>
      <c r="G46" s="420">
        <f>'F2 Weiterführung ER'!G46</f>
        <v>60</v>
      </c>
      <c r="H46" s="421">
        <f>'F2 Weiterführung ER'!H46</f>
        <v>54</v>
      </c>
      <c r="I46" s="422">
        <f>'F2 Weiterführung ER'!I46+SUM('F5b DELTA ER'!I46:I49)</f>
        <v>42</v>
      </c>
      <c r="J46" s="420">
        <f>'F2 Weiterführung ER'!J46+SUM('F5b DELTA ER'!J46:J49)</f>
        <v>42</v>
      </c>
      <c r="K46" s="420">
        <f>'F2 Weiterführung ER'!K46+SUM('F5b DELTA ER'!K46:K49)</f>
        <v>42</v>
      </c>
      <c r="L46" s="420">
        <f>'F2 Weiterführung ER'!L46+SUM('F5b DELTA ER'!L46:L49)</f>
        <v>42</v>
      </c>
      <c r="M46" s="423">
        <f>'F2 Weiterführung ER'!M46+SUM('F5b DELTA ER'!M46:M49)</f>
        <v>42</v>
      </c>
      <c r="N46" s="602" t="str">
        <f t="shared" si="41"/>
        <v/>
      </c>
      <c r="O46" s="420">
        <f>'F2 Weiterführung ER'!O46</f>
        <v>1</v>
      </c>
      <c r="P46" s="421">
        <f>'F2 Weiterführung ER'!P46</f>
        <v>1</v>
      </c>
      <c r="Q46" s="422">
        <f>'F2 Weiterführung ER'!Q46+SUM('F5b DELTA ER'!Q46:Q49)</f>
        <v>1</v>
      </c>
      <c r="R46" s="420">
        <f>'F2 Weiterführung ER'!R46+SUM('F5b DELTA ER'!R46:R49)</f>
        <v>1</v>
      </c>
      <c r="S46" s="420">
        <f>'F2 Weiterführung ER'!S46+SUM('F5b DELTA ER'!S46:S49)</f>
        <v>1</v>
      </c>
      <c r="T46" s="420">
        <f>'F2 Weiterführung ER'!T46+SUM('F5b DELTA ER'!T46:T49)</f>
        <v>1</v>
      </c>
      <c r="U46" s="423">
        <f>'F2 Weiterführung ER'!U46+SUM('F5b DELTA ER'!U46:U49)</f>
        <v>1</v>
      </c>
      <c r="W46" s="420">
        <f>'F2 Weiterführung ER'!W46</f>
        <v>31</v>
      </c>
      <c r="X46" s="421">
        <f>'F2 Weiterführung ER'!X46</f>
        <v>31</v>
      </c>
      <c r="Y46" s="422">
        <f>'F2 Weiterführung ER'!Y46+SUM('F5b DELTA ER'!Y46:Y49)</f>
        <v>31</v>
      </c>
      <c r="Z46" s="420">
        <f>'F2 Weiterführung ER'!Z46+SUM('F5b DELTA ER'!Z46:Z49)</f>
        <v>31</v>
      </c>
      <c r="AA46" s="420">
        <f>'F2 Weiterführung ER'!AA46+SUM('F5b DELTA ER'!AA46:AA49)</f>
        <v>31</v>
      </c>
      <c r="AB46" s="420">
        <f>'F2 Weiterführung ER'!AB46+SUM('F5b DELTA ER'!AB46:AB49)</f>
        <v>31</v>
      </c>
      <c r="AC46" s="423">
        <f>'F2 Weiterführung ER'!AC46+SUM('F5b DELTA ER'!AC46:AC49)</f>
        <v>31</v>
      </c>
      <c r="AE46" s="420">
        <f>'F2 Weiterführung ER'!AE46</f>
        <v>0</v>
      </c>
      <c r="AF46" s="421">
        <f>'F2 Weiterführung ER'!AF46</f>
        <v>0</v>
      </c>
      <c r="AG46" s="422">
        <f>'F2 Weiterführung ER'!AG46+SUM('F5b DELTA ER'!AG46:AG49)</f>
        <v>0</v>
      </c>
      <c r="AH46" s="420">
        <f>'F2 Weiterführung ER'!AH46+SUM('F5b DELTA ER'!AH46:AH49)</f>
        <v>0</v>
      </c>
      <c r="AI46" s="420">
        <f>'F2 Weiterführung ER'!AI46+SUM('F5b DELTA ER'!AI46:AI49)</f>
        <v>0</v>
      </c>
      <c r="AJ46" s="420">
        <f>'F2 Weiterführung ER'!AJ46+SUM('F5b DELTA ER'!AJ46:AJ49)</f>
        <v>0</v>
      </c>
      <c r="AK46" s="423">
        <f>'F2 Weiterführung ER'!AK46+SUM('F5b DELTA ER'!AK46:AK49)</f>
        <v>0</v>
      </c>
      <c r="AM46" s="420">
        <f>'F2 Weiterführung ER'!AM46</f>
        <v>0</v>
      </c>
      <c r="AN46" s="421">
        <f>'F2 Weiterführung ER'!AN46</f>
        <v>0</v>
      </c>
      <c r="AO46" s="422">
        <f>'F2 Weiterführung ER'!AO46+SUM('F5b DELTA ER'!AO46:AO49)</f>
        <v>0</v>
      </c>
      <c r="AP46" s="420">
        <f>'F2 Weiterführung ER'!AP46+SUM('F5b DELTA ER'!AP46:AP49)</f>
        <v>0</v>
      </c>
      <c r="AQ46" s="420">
        <f>'F2 Weiterführung ER'!AQ46+SUM('F5b DELTA ER'!AQ46:AQ49)</f>
        <v>0</v>
      </c>
      <c r="AR46" s="420">
        <f>'F2 Weiterführung ER'!AR46+SUM('F5b DELTA ER'!AR46:AR49)</f>
        <v>0</v>
      </c>
      <c r="AS46" s="423">
        <f>'F2 Weiterführung ER'!AS46+SUM('F5b DELTA ER'!AS46:AS49)</f>
        <v>0</v>
      </c>
      <c r="AU46" s="420">
        <f>'F2 Weiterführung ER'!AU46</f>
        <v>0</v>
      </c>
      <c r="AV46" s="421">
        <f>'F2 Weiterführung ER'!AV46</f>
        <v>1</v>
      </c>
      <c r="AW46" s="422">
        <f>'F2 Weiterführung ER'!AW46+SUM('F5b DELTA ER'!AW46:AW49)</f>
        <v>1</v>
      </c>
      <c r="AX46" s="420">
        <f>'F2 Weiterführung ER'!AX46+SUM('F5b DELTA ER'!AX46:AX49)</f>
        <v>1</v>
      </c>
      <c r="AY46" s="420">
        <f>'F2 Weiterführung ER'!AY46+SUM('F5b DELTA ER'!AY46:AY49)</f>
        <v>1</v>
      </c>
      <c r="AZ46" s="420">
        <f>'F2 Weiterführung ER'!AZ46+SUM('F5b DELTA ER'!AZ46:AZ49)</f>
        <v>1</v>
      </c>
      <c r="BA46" s="423">
        <f>'F2 Weiterführung ER'!BA46+SUM('F5b DELTA ER'!BA46:BA49)</f>
        <v>1</v>
      </c>
      <c r="BC46" s="420">
        <f>'F2 Weiterführung ER'!BC46</f>
        <v>28</v>
      </c>
      <c r="BD46" s="421">
        <f>'F2 Weiterführung ER'!BD46</f>
        <v>21</v>
      </c>
      <c r="BE46" s="422">
        <f>'F2 Weiterführung ER'!BE46+SUM('F5b DELTA ER'!BE46:BE49)</f>
        <v>9</v>
      </c>
      <c r="BF46" s="420">
        <f>'F2 Weiterführung ER'!BF46+SUM('F5b DELTA ER'!BF46:BF49)</f>
        <v>9</v>
      </c>
      <c r="BG46" s="420">
        <f>'F2 Weiterführung ER'!BG46+SUM('F5b DELTA ER'!BG46:BG49)</f>
        <v>9</v>
      </c>
      <c r="BH46" s="420">
        <f>'F2 Weiterführung ER'!BH46+SUM('F5b DELTA ER'!BH46:BH49)</f>
        <v>9</v>
      </c>
      <c r="BI46" s="423">
        <f>'F2 Weiterführung ER'!BI46+SUM('F5b DELTA ER'!BI46:BI49)</f>
        <v>9</v>
      </c>
    </row>
    <row r="47" spans="2:62" s="660" customFormat="1" ht="11.1" customHeight="1">
      <c r="B47" s="661"/>
      <c r="C47" s="699">
        <v>440</v>
      </c>
      <c r="D47" s="1262" t="s">
        <v>358</v>
      </c>
      <c r="E47" s="1262"/>
      <c r="F47" s="1260"/>
      <c r="G47" s="646">
        <f>'F2 Weiterführung ER'!G47</f>
        <v>16</v>
      </c>
      <c r="H47" s="647">
        <f>'F2 Weiterführung ER'!H47</f>
        <v>11</v>
      </c>
      <c r="I47" s="648">
        <f>'F2 Weiterführung ER'!I47+'F5b DELTA ER'!I47</f>
        <v>11</v>
      </c>
      <c r="J47" s="649">
        <f>'F2 Weiterführung ER'!J47+'F5b DELTA ER'!J47</f>
        <v>11</v>
      </c>
      <c r="K47" s="649">
        <f>'F2 Weiterführung ER'!K47+'F5b DELTA ER'!K47</f>
        <v>11</v>
      </c>
      <c r="L47" s="649">
        <f>'F2 Weiterführung ER'!L47+'F5b DELTA ER'!L47</f>
        <v>11</v>
      </c>
      <c r="M47" s="595">
        <f>'F2 Weiterführung ER'!M47+'F5b DELTA ER'!M47</f>
        <v>11</v>
      </c>
      <c r="N47" s="602" t="str">
        <f t="shared" si="41"/>
        <v/>
      </c>
      <c r="O47" s="646">
        <f>'F2 Weiterführung ER'!O47</f>
        <v>0</v>
      </c>
      <c r="P47" s="647">
        <f>'F2 Weiterführung ER'!P47</f>
        <v>0</v>
      </c>
      <c r="Q47" s="648">
        <f>'F2 Weiterführung ER'!Q47+'F5b DELTA ER'!Q47</f>
        <v>0</v>
      </c>
      <c r="R47" s="649">
        <f>'F2 Weiterführung ER'!R47+'F5b DELTA ER'!R47</f>
        <v>0</v>
      </c>
      <c r="S47" s="649">
        <f>'F2 Weiterführung ER'!S47+'F5b DELTA ER'!S47</f>
        <v>0</v>
      </c>
      <c r="T47" s="649">
        <f>'F2 Weiterführung ER'!T47+'F5b DELTA ER'!T47</f>
        <v>0</v>
      </c>
      <c r="U47" s="595">
        <f>'F2 Weiterführung ER'!U47+'F5b DELTA ER'!U47</f>
        <v>0</v>
      </c>
      <c r="V47" s="665"/>
      <c r="W47" s="646">
        <f>'F2 Weiterführung ER'!W47</f>
        <v>0</v>
      </c>
      <c r="X47" s="647">
        <f>'F2 Weiterführung ER'!X47</f>
        <v>0</v>
      </c>
      <c r="Y47" s="648">
        <f>'F2 Weiterführung ER'!Y47+'F5b DELTA ER'!Y47</f>
        <v>0</v>
      </c>
      <c r="Z47" s="649">
        <f>'F2 Weiterführung ER'!Z47+'F5b DELTA ER'!Z47</f>
        <v>0</v>
      </c>
      <c r="AA47" s="649">
        <f>'F2 Weiterführung ER'!AA47+'F5b DELTA ER'!AA47</f>
        <v>0</v>
      </c>
      <c r="AB47" s="649">
        <f>'F2 Weiterführung ER'!AB47+'F5b DELTA ER'!AB47</f>
        <v>0</v>
      </c>
      <c r="AC47" s="595">
        <f>'F2 Weiterführung ER'!AC47+'F5b DELTA ER'!AC47</f>
        <v>0</v>
      </c>
      <c r="AD47" s="665"/>
      <c r="AE47" s="646">
        <f>'F2 Weiterführung ER'!AE47</f>
        <v>0</v>
      </c>
      <c r="AF47" s="647">
        <f>'F2 Weiterführung ER'!AF47</f>
        <v>0</v>
      </c>
      <c r="AG47" s="648">
        <f>'F2 Weiterführung ER'!AG47+'F5b DELTA ER'!AG47</f>
        <v>0</v>
      </c>
      <c r="AH47" s="649">
        <f>'F2 Weiterführung ER'!AH47+'F5b DELTA ER'!AH47</f>
        <v>0</v>
      </c>
      <c r="AI47" s="649">
        <f>'F2 Weiterführung ER'!AI47+'F5b DELTA ER'!AI47</f>
        <v>0</v>
      </c>
      <c r="AJ47" s="649">
        <f>'F2 Weiterführung ER'!AJ47+'F5b DELTA ER'!AJ47</f>
        <v>0</v>
      </c>
      <c r="AK47" s="595">
        <f>'F2 Weiterführung ER'!AK47+'F5b DELTA ER'!AK47</f>
        <v>0</v>
      </c>
      <c r="AL47" s="665"/>
      <c r="AM47" s="646">
        <f>'F2 Weiterführung ER'!AM47</f>
        <v>0</v>
      </c>
      <c r="AN47" s="647">
        <f>'F2 Weiterführung ER'!AN47</f>
        <v>0</v>
      </c>
      <c r="AO47" s="648">
        <f>'F2 Weiterführung ER'!AO47+'F5b DELTA ER'!AO47</f>
        <v>0</v>
      </c>
      <c r="AP47" s="649">
        <f>'F2 Weiterführung ER'!AP47+'F5b DELTA ER'!AP47</f>
        <v>0</v>
      </c>
      <c r="AQ47" s="649">
        <f>'F2 Weiterführung ER'!AQ47+'F5b DELTA ER'!AQ47</f>
        <v>0</v>
      </c>
      <c r="AR47" s="649">
        <f>'F2 Weiterführung ER'!AR47+'F5b DELTA ER'!AR47</f>
        <v>0</v>
      </c>
      <c r="AS47" s="595">
        <f>'F2 Weiterführung ER'!AS47+'F5b DELTA ER'!AS47</f>
        <v>0</v>
      </c>
      <c r="AT47" s="665"/>
      <c r="AU47" s="646">
        <f>'F2 Weiterführung ER'!AU47</f>
        <v>0</v>
      </c>
      <c r="AV47" s="647">
        <f>'F2 Weiterführung ER'!AV47</f>
        <v>0</v>
      </c>
      <c r="AW47" s="648">
        <f>'F2 Weiterführung ER'!AW47+'F5b DELTA ER'!AW47</f>
        <v>0</v>
      </c>
      <c r="AX47" s="649">
        <f>'F2 Weiterführung ER'!AX47+'F5b DELTA ER'!AX47</f>
        <v>0</v>
      </c>
      <c r="AY47" s="649">
        <f>'F2 Weiterführung ER'!AY47+'F5b DELTA ER'!AY47</f>
        <v>0</v>
      </c>
      <c r="AZ47" s="649">
        <f>'F2 Weiterführung ER'!AZ47+'F5b DELTA ER'!AZ47</f>
        <v>0</v>
      </c>
      <c r="BA47" s="595">
        <f>'F2 Weiterführung ER'!BA47+'F5b DELTA ER'!BA47</f>
        <v>0</v>
      </c>
      <c r="BB47" s="665"/>
      <c r="BC47" s="646">
        <f>'F2 Weiterführung ER'!BC47</f>
        <v>16</v>
      </c>
      <c r="BD47" s="647">
        <f>'F2 Weiterführung ER'!BD47</f>
        <v>11</v>
      </c>
      <c r="BE47" s="648">
        <f>'F2 Weiterführung ER'!BE47+'F5b DELTA ER'!BE47</f>
        <v>11</v>
      </c>
      <c r="BF47" s="649">
        <f>'F2 Weiterführung ER'!BF47+'F5b DELTA ER'!BF47</f>
        <v>11</v>
      </c>
      <c r="BG47" s="649">
        <f>'F2 Weiterführung ER'!BG47+'F5b DELTA ER'!BG47</f>
        <v>11</v>
      </c>
      <c r="BH47" s="649">
        <f>'F2 Weiterführung ER'!BH47+'F5b DELTA ER'!BH47</f>
        <v>11</v>
      </c>
      <c r="BI47" s="595">
        <f>'F2 Weiterführung ER'!BI47+'F5b DELTA ER'!BI47</f>
        <v>11</v>
      </c>
      <c r="BJ47" s="665"/>
    </row>
    <row r="48" spans="2:62" ht="11.1" customHeight="1">
      <c r="B48" s="374"/>
      <c r="C48" s="651">
        <v>441</v>
      </c>
      <c r="D48" s="691" t="s">
        <v>211</v>
      </c>
      <c r="E48" s="691"/>
      <c r="F48" s="689"/>
      <c r="G48" s="646">
        <f>'F2 Weiterführung ER'!G48</f>
        <v>0</v>
      </c>
      <c r="H48" s="647">
        <f>'F2 Weiterführung ER'!H48</f>
        <v>0</v>
      </c>
      <c r="I48" s="648">
        <f>'F2 Weiterführung ER'!I48+'F5b DELTA ER'!I48</f>
        <v>0</v>
      </c>
      <c r="J48" s="649">
        <f>'F2 Weiterführung ER'!J48+'F5b DELTA ER'!J48</f>
        <v>0</v>
      </c>
      <c r="K48" s="649">
        <f>'F2 Weiterführung ER'!K48+'F5b DELTA ER'!K48</f>
        <v>0</v>
      </c>
      <c r="L48" s="649">
        <f>'F2 Weiterführung ER'!L48+'F5b DELTA ER'!L48</f>
        <v>0</v>
      </c>
      <c r="M48" s="595">
        <f>'F2 Weiterführung ER'!M48+'F5b DELTA ER'!M48</f>
        <v>0</v>
      </c>
      <c r="N48" s="602" t="str">
        <f t="shared" si="41"/>
        <v/>
      </c>
      <c r="O48" s="646">
        <f>'F2 Weiterführung ER'!O48</f>
        <v>0</v>
      </c>
      <c r="P48" s="647">
        <f>'F2 Weiterführung ER'!P48</f>
        <v>0</v>
      </c>
      <c r="Q48" s="648">
        <f>'F2 Weiterführung ER'!Q48+'F5b DELTA ER'!Q48</f>
        <v>0</v>
      </c>
      <c r="R48" s="649">
        <f>'F2 Weiterführung ER'!R48+'F5b DELTA ER'!R48</f>
        <v>0</v>
      </c>
      <c r="S48" s="649">
        <f>'F2 Weiterführung ER'!S48+'F5b DELTA ER'!S48</f>
        <v>0</v>
      </c>
      <c r="T48" s="649">
        <f>'F2 Weiterführung ER'!T48+'F5b DELTA ER'!T48</f>
        <v>0</v>
      </c>
      <c r="U48" s="595">
        <f>'F2 Weiterführung ER'!U48+'F5b DELTA ER'!U48</f>
        <v>0</v>
      </c>
      <c r="V48" s="665"/>
      <c r="W48" s="646">
        <f>'F2 Weiterführung ER'!W48</f>
        <v>0</v>
      </c>
      <c r="X48" s="647">
        <f>'F2 Weiterführung ER'!X48</f>
        <v>0</v>
      </c>
      <c r="Y48" s="648">
        <f>'F2 Weiterführung ER'!Y48+'F5b DELTA ER'!Y48</f>
        <v>0</v>
      </c>
      <c r="Z48" s="649">
        <f>'F2 Weiterführung ER'!Z48+'F5b DELTA ER'!Z48</f>
        <v>0</v>
      </c>
      <c r="AA48" s="649">
        <f>'F2 Weiterführung ER'!AA48+'F5b DELTA ER'!AA48</f>
        <v>0</v>
      </c>
      <c r="AB48" s="649">
        <f>'F2 Weiterführung ER'!AB48+'F5b DELTA ER'!AB48</f>
        <v>0</v>
      </c>
      <c r="AC48" s="595">
        <f>'F2 Weiterführung ER'!AC48+'F5b DELTA ER'!AC48</f>
        <v>0</v>
      </c>
      <c r="AD48" s="665"/>
      <c r="AE48" s="646">
        <f>'F2 Weiterführung ER'!AE48</f>
        <v>0</v>
      </c>
      <c r="AF48" s="647">
        <f>'F2 Weiterführung ER'!AF48</f>
        <v>0</v>
      </c>
      <c r="AG48" s="648">
        <f>'F2 Weiterführung ER'!AG48+'F5b DELTA ER'!AG48</f>
        <v>0</v>
      </c>
      <c r="AH48" s="649">
        <f>'F2 Weiterführung ER'!AH48+'F5b DELTA ER'!AH48</f>
        <v>0</v>
      </c>
      <c r="AI48" s="649">
        <f>'F2 Weiterführung ER'!AI48+'F5b DELTA ER'!AI48</f>
        <v>0</v>
      </c>
      <c r="AJ48" s="649">
        <f>'F2 Weiterführung ER'!AJ48+'F5b DELTA ER'!AJ48</f>
        <v>0</v>
      </c>
      <c r="AK48" s="595">
        <f>'F2 Weiterführung ER'!AK48+'F5b DELTA ER'!AK48</f>
        <v>0</v>
      </c>
      <c r="AL48" s="665"/>
      <c r="AM48" s="646">
        <f>'F2 Weiterführung ER'!AM48</f>
        <v>0</v>
      </c>
      <c r="AN48" s="647">
        <f>'F2 Weiterführung ER'!AN48</f>
        <v>0</v>
      </c>
      <c r="AO48" s="648">
        <f>'F2 Weiterführung ER'!AO48+'F5b DELTA ER'!AO48</f>
        <v>0</v>
      </c>
      <c r="AP48" s="649">
        <f>'F2 Weiterführung ER'!AP48+'F5b DELTA ER'!AP48</f>
        <v>0</v>
      </c>
      <c r="AQ48" s="649">
        <f>'F2 Weiterführung ER'!AQ48+'F5b DELTA ER'!AQ48</f>
        <v>0</v>
      </c>
      <c r="AR48" s="649">
        <f>'F2 Weiterführung ER'!AR48+'F5b DELTA ER'!AR48</f>
        <v>0</v>
      </c>
      <c r="AS48" s="595">
        <f>'F2 Weiterführung ER'!AS48+'F5b DELTA ER'!AS48</f>
        <v>0</v>
      </c>
      <c r="AT48" s="665"/>
      <c r="AU48" s="646">
        <f>'F2 Weiterführung ER'!AU48</f>
        <v>0</v>
      </c>
      <c r="AV48" s="647">
        <f>'F2 Weiterführung ER'!AV48</f>
        <v>0</v>
      </c>
      <c r="AW48" s="648">
        <f>'F2 Weiterführung ER'!AW48+'F5b DELTA ER'!AW48</f>
        <v>0</v>
      </c>
      <c r="AX48" s="649">
        <f>'F2 Weiterführung ER'!AX48+'F5b DELTA ER'!AX48</f>
        <v>0</v>
      </c>
      <c r="AY48" s="649">
        <f>'F2 Weiterführung ER'!AY48+'F5b DELTA ER'!AY48</f>
        <v>0</v>
      </c>
      <c r="AZ48" s="649">
        <f>'F2 Weiterführung ER'!AZ48+'F5b DELTA ER'!AZ48</f>
        <v>0</v>
      </c>
      <c r="BA48" s="595">
        <f>'F2 Weiterführung ER'!BA48+'F5b DELTA ER'!BA48</f>
        <v>0</v>
      </c>
      <c r="BB48" s="665"/>
      <c r="BC48" s="646">
        <f>'F2 Weiterführung ER'!BC48</f>
        <v>0</v>
      </c>
      <c r="BD48" s="647">
        <f>'F2 Weiterführung ER'!BD48</f>
        <v>0</v>
      </c>
      <c r="BE48" s="648">
        <f>'F2 Weiterführung ER'!BE48+'F5b DELTA ER'!BE48</f>
        <v>0</v>
      </c>
      <c r="BF48" s="649">
        <f>'F2 Weiterführung ER'!BF48+'F5b DELTA ER'!BF48</f>
        <v>0</v>
      </c>
      <c r="BG48" s="649">
        <f>'F2 Weiterführung ER'!BG48+'F5b DELTA ER'!BG48</f>
        <v>0</v>
      </c>
      <c r="BH48" s="649">
        <f>'F2 Weiterführung ER'!BH48+'F5b DELTA ER'!BH48</f>
        <v>0</v>
      </c>
      <c r="BI48" s="595">
        <f>'F2 Weiterführung ER'!BI48+'F5b DELTA ER'!BI48</f>
        <v>0</v>
      </c>
      <c r="BJ48" s="665"/>
    </row>
    <row r="49" spans="2:62" ht="11.1" customHeight="1">
      <c r="B49" s="374"/>
      <c r="C49" s="651" t="s">
        <v>207</v>
      </c>
      <c r="D49" s="691" t="s">
        <v>208</v>
      </c>
      <c r="E49" s="691"/>
      <c r="F49" s="689"/>
      <c r="G49" s="646">
        <f>'F2 Weiterführung ER'!G49</f>
        <v>44</v>
      </c>
      <c r="H49" s="647">
        <f>'F2 Weiterführung ER'!H49</f>
        <v>12</v>
      </c>
      <c r="I49" s="648">
        <f>'F2 Weiterführung ER'!I49+'F5b DELTA ER'!I49</f>
        <v>0</v>
      </c>
      <c r="J49" s="649">
        <f>'F2 Weiterführung ER'!J49+'F5b DELTA ER'!J49</f>
        <v>0</v>
      </c>
      <c r="K49" s="649">
        <f>'F2 Weiterführung ER'!K49+'F5b DELTA ER'!K49</f>
        <v>0</v>
      </c>
      <c r="L49" s="649">
        <f>'F2 Weiterführung ER'!L49+'F5b DELTA ER'!L49</f>
        <v>0</v>
      </c>
      <c r="M49" s="595">
        <f>'F2 Weiterführung ER'!M49+'F5b DELTA ER'!M49</f>
        <v>0</v>
      </c>
      <c r="N49" s="602" t="str">
        <f t="shared" si="41"/>
        <v/>
      </c>
      <c r="O49" s="646">
        <f>'F2 Weiterführung ER'!O49</f>
        <v>0</v>
      </c>
      <c r="P49" s="647">
        <f>'F2 Weiterführung ER'!P49</f>
        <v>0</v>
      </c>
      <c r="Q49" s="648">
        <f>'F2 Weiterführung ER'!Q49+'F5b DELTA ER'!Q49</f>
        <v>0</v>
      </c>
      <c r="R49" s="649">
        <f>'F2 Weiterführung ER'!R49+'F5b DELTA ER'!R49</f>
        <v>0</v>
      </c>
      <c r="S49" s="649">
        <f>'F2 Weiterführung ER'!S49+'F5b DELTA ER'!S49</f>
        <v>0</v>
      </c>
      <c r="T49" s="649">
        <f>'F2 Weiterführung ER'!T49+'F5b DELTA ER'!T49</f>
        <v>0</v>
      </c>
      <c r="U49" s="595">
        <f>'F2 Weiterführung ER'!U49+'F5b DELTA ER'!U49</f>
        <v>0</v>
      </c>
      <c r="V49" s="665"/>
      <c r="W49" s="646">
        <f>'F2 Weiterführung ER'!W49</f>
        <v>0</v>
      </c>
      <c r="X49" s="647">
        <f>'F2 Weiterführung ER'!X49</f>
        <v>0</v>
      </c>
      <c r="Y49" s="648">
        <f>'F2 Weiterführung ER'!Y49+'F5b DELTA ER'!Y49</f>
        <v>0</v>
      </c>
      <c r="Z49" s="649">
        <f>'F2 Weiterführung ER'!Z49+'F5b DELTA ER'!Z49</f>
        <v>0</v>
      </c>
      <c r="AA49" s="649">
        <f>'F2 Weiterführung ER'!AA49+'F5b DELTA ER'!AA49</f>
        <v>0</v>
      </c>
      <c r="AB49" s="649">
        <f>'F2 Weiterführung ER'!AB49+'F5b DELTA ER'!AB49</f>
        <v>0</v>
      </c>
      <c r="AC49" s="595">
        <f>'F2 Weiterführung ER'!AC49+'F5b DELTA ER'!AC49</f>
        <v>0</v>
      </c>
      <c r="AD49" s="665"/>
      <c r="AE49" s="646">
        <f>'F2 Weiterführung ER'!AE49</f>
        <v>0</v>
      </c>
      <c r="AF49" s="647">
        <f>'F2 Weiterführung ER'!AF49</f>
        <v>0</v>
      </c>
      <c r="AG49" s="648">
        <f>'F2 Weiterführung ER'!AG49+'F5b DELTA ER'!AG49</f>
        <v>0</v>
      </c>
      <c r="AH49" s="649">
        <f>'F2 Weiterführung ER'!AH49+'F5b DELTA ER'!AH49</f>
        <v>0</v>
      </c>
      <c r="AI49" s="649">
        <f>'F2 Weiterführung ER'!AI49+'F5b DELTA ER'!AI49</f>
        <v>0</v>
      </c>
      <c r="AJ49" s="649">
        <f>'F2 Weiterführung ER'!AJ49+'F5b DELTA ER'!AJ49</f>
        <v>0</v>
      </c>
      <c r="AK49" s="595">
        <f>'F2 Weiterführung ER'!AK49+'F5b DELTA ER'!AK49</f>
        <v>0</v>
      </c>
      <c r="AL49" s="665"/>
      <c r="AM49" s="646">
        <f>'F2 Weiterführung ER'!AM49</f>
        <v>0</v>
      </c>
      <c r="AN49" s="647">
        <f>'F2 Weiterführung ER'!AN49</f>
        <v>0</v>
      </c>
      <c r="AO49" s="648">
        <f>'F2 Weiterführung ER'!AO49+'F5b DELTA ER'!AO49</f>
        <v>0</v>
      </c>
      <c r="AP49" s="649">
        <f>'F2 Weiterführung ER'!AP49+'F5b DELTA ER'!AP49</f>
        <v>0</v>
      </c>
      <c r="AQ49" s="649">
        <f>'F2 Weiterführung ER'!AQ49+'F5b DELTA ER'!AQ49</f>
        <v>0</v>
      </c>
      <c r="AR49" s="649">
        <f>'F2 Weiterführung ER'!AR49+'F5b DELTA ER'!AR49</f>
        <v>0</v>
      </c>
      <c r="AS49" s="595">
        <f>'F2 Weiterführung ER'!AS49+'F5b DELTA ER'!AS49</f>
        <v>0</v>
      </c>
      <c r="AT49" s="665"/>
      <c r="AU49" s="646">
        <f>'F2 Weiterführung ER'!AU49</f>
        <v>0</v>
      </c>
      <c r="AV49" s="647">
        <f>'F2 Weiterführung ER'!AV49</f>
        <v>0</v>
      </c>
      <c r="AW49" s="648">
        <f>'F2 Weiterführung ER'!AW49+'F5b DELTA ER'!AW49</f>
        <v>0</v>
      </c>
      <c r="AX49" s="649">
        <f>'F2 Weiterführung ER'!AX49+'F5b DELTA ER'!AX49</f>
        <v>0</v>
      </c>
      <c r="AY49" s="649">
        <f>'F2 Weiterführung ER'!AY49+'F5b DELTA ER'!AY49</f>
        <v>0</v>
      </c>
      <c r="AZ49" s="649">
        <f>'F2 Weiterführung ER'!AZ49+'F5b DELTA ER'!AZ49</f>
        <v>0</v>
      </c>
      <c r="BA49" s="595">
        <f>'F2 Weiterführung ER'!BA49+'F5b DELTA ER'!BA49</f>
        <v>0</v>
      </c>
      <c r="BB49" s="665"/>
      <c r="BC49" s="646">
        <f>'F2 Weiterführung ER'!BC49</f>
        <v>44</v>
      </c>
      <c r="BD49" s="647">
        <f>'F2 Weiterführung ER'!BD49</f>
        <v>12</v>
      </c>
      <c r="BE49" s="648">
        <f>'F2 Weiterführung ER'!BE49+'F5b DELTA ER'!BE49</f>
        <v>0</v>
      </c>
      <c r="BF49" s="649">
        <f>'F2 Weiterführung ER'!BF49+'F5b DELTA ER'!BF49</f>
        <v>0</v>
      </c>
      <c r="BG49" s="649">
        <f>'F2 Weiterführung ER'!BG49+'F5b DELTA ER'!BG49</f>
        <v>0</v>
      </c>
      <c r="BH49" s="649">
        <f>'F2 Weiterführung ER'!BH49+'F5b DELTA ER'!BH49</f>
        <v>0</v>
      </c>
      <c r="BI49" s="595">
        <f>'F2 Weiterführung ER'!BI49+'F5b DELTA ER'!BI49</f>
        <v>0</v>
      </c>
      <c r="BJ49" s="665"/>
    </row>
    <row r="50" spans="2:62" s="660" customFormat="1" ht="11.1" customHeight="1">
      <c r="B50" s="661">
        <v>45</v>
      </c>
      <c r="C50" s="667"/>
      <c r="D50" s="1428" t="s">
        <v>96</v>
      </c>
      <c r="E50" s="1428"/>
      <c r="F50" s="1429"/>
      <c r="G50" s="679">
        <f>'F2 Weiterführung ER'!G50</f>
        <v>424</v>
      </c>
      <c r="H50" s="680">
        <f>'F2 Weiterführung ER'!H50</f>
        <v>336</v>
      </c>
      <c r="I50" s="422">
        <f>SUM(I51:I54)</f>
        <v>320</v>
      </c>
      <c r="J50" s="420">
        <f t="shared" ref="J50" si="48">SUM(J51:J54)</f>
        <v>300</v>
      </c>
      <c r="K50" s="420">
        <f t="shared" ref="K50" si="49">SUM(K51:K54)</f>
        <v>280</v>
      </c>
      <c r="L50" s="420">
        <f t="shared" ref="L50" si="50">SUM(L51:L54)</f>
        <v>260</v>
      </c>
      <c r="M50" s="423">
        <f t="shared" ref="M50" si="51">SUM(M51:M54)</f>
        <v>240</v>
      </c>
      <c r="N50" s="702" t="str">
        <f>IF(SUM(I50:M50)=0,"Fehler?",IF(SUM(G50:M50)=SUM(O50:YQ50),"",SUM(O50:YQ50)-SUM(G50:M50)))</f>
        <v/>
      </c>
      <c r="O50" s="679">
        <f>'F2 Weiterführung ER'!O50</f>
        <v>0</v>
      </c>
      <c r="P50" s="680">
        <f>'F2 Weiterführung ER'!P50</f>
        <v>0</v>
      </c>
      <c r="Q50" s="592">
        <f>SUM(Q51:Q54)</f>
        <v>0</v>
      </c>
      <c r="R50" s="593">
        <f>SUM(R51:R54)</f>
        <v>0</v>
      </c>
      <c r="S50" s="593">
        <f t="shared" ref="S50" si="52">SUM(S51:S54)</f>
        <v>0</v>
      </c>
      <c r="T50" s="593">
        <f t="shared" ref="T50" si="53">SUM(T51:T54)</f>
        <v>0</v>
      </c>
      <c r="U50" s="594">
        <f t="shared" ref="U50" si="54">SUM(U51:U54)</f>
        <v>0</v>
      </c>
      <c r="W50" s="679">
        <f>'F2 Weiterführung ER'!W50</f>
        <v>0</v>
      </c>
      <c r="X50" s="680">
        <f>'F2 Weiterführung ER'!X50</f>
        <v>0</v>
      </c>
      <c r="Y50" s="592">
        <f>SUM(Y51:Y54)</f>
        <v>0</v>
      </c>
      <c r="Z50" s="593">
        <f t="shared" ref="Z50" si="55">SUM(Z51:Z54)</f>
        <v>0</v>
      </c>
      <c r="AA50" s="593">
        <f t="shared" ref="AA50" si="56">SUM(AA51:AA54)</f>
        <v>0</v>
      </c>
      <c r="AB50" s="593">
        <f t="shared" ref="AB50" si="57">SUM(AB51:AB54)</f>
        <v>0</v>
      </c>
      <c r="AC50" s="594">
        <f t="shared" ref="AC50" si="58">SUM(AC51:AC54)</f>
        <v>0</v>
      </c>
      <c r="AE50" s="679">
        <f>'F2 Weiterführung ER'!AE50</f>
        <v>0</v>
      </c>
      <c r="AF50" s="680">
        <f>'F2 Weiterführung ER'!AF50</f>
        <v>0</v>
      </c>
      <c r="AG50" s="592">
        <f>SUM(AG51:AG54)</f>
        <v>0</v>
      </c>
      <c r="AH50" s="593">
        <f t="shared" ref="AH50" si="59">SUM(AH51:AH54)</f>
        <v>0</v>
      </c>
      <c r="AI50" s="593">
        <f t="shared" ref="AI50" si="60">SUM(AI51:AI54)</f>
        <v>0</v>
      </c>
      <c r="AJ50" s="593">
        <f t="shared" ref="AJ50" si="61">SUM(AJ51:AJ54)</f>
        <v>0</v>
      </c>
      <c r="AK50" s="594">
        <f t="shared" ref="AK50" si="62">SUM(AK51:AK54)</f>
        <v>0</v>
      </c>
      <c r="AM50" s="679">
        <f>'F2 Weiterführung ER'!AM50</f>
        <v>49</v>
      </c>
      <c r="AN50" s="680">
        <f>'F2 Weiterführung ER'!AN50</f>
        <v>0</v>
      </c>
      <c r="AO50" s="592">
        <f>SUM(AO51:AO54)</f>
        <v>50</v>
      </c>
      <c r="AP50" s="593">
        <f t="shared" ref="AP50" si="63">SUM(AP51:AP54)</f>
        <v>50</v>
      </c>
      <c r="AQ50" s="593">
        <f t="shared" ref="AQ50" si="64">SUM(AQ51:AQ54)</f>
        <v>50</v>
      </c>
      <c r="AR50" s="593">
        <f t="shared" ref="AR50" si="65">SUM(AR51:AR54)</f>
        <v>50</v>
      </c>
      <c r="AS50" s="594">
        <f t="shared" ref="AS50" si="66">SUM(AS51:AS54)</f>
        <v>50</v>
      </c>
      <c r="AU50" s="679">
        <f>'F2 Weiterführung ER'!AU50</f>
        <v>375</v>
      </c>
      <c r="AV50" s="680">
        <f>'F2 Weiterführung ER'!AV50</f>
        <v>336</v>
      </c>
      <c r="AW50" s="592">
        <f>SUM(AW51:AW54)</f>
        <v>270</v>
      </c>
      <c r="AX50" s="593">
        <f t="shared" ref="AX50" si="67">SUM(AX51:AX54)</f>
        <v>250</v>
      </c>
      <c r="AY50" s="593">
        <f t="shared" ref="AY50" si="68">SUM(AY51:AY54)</f>
        <v>230</v>
      </c>
      <c r="AZ50" s="593">
        <f t="shared" ref="AZ50" si="69">SUM(AZ51:AZ54)</f>
        <v>210</v>
      </c>
      <c r="BA50" s="594">
        <f t="shared" ref="BA50" si="70">SUM(BA51:BA54)</f>
        <v>190</v>
      </c>
      <c r="BC50" s="679">
        <f>'F2 Weiterführung ER'!BC50</f>
        <v>0</v>
      </c>
      <c r="BD50" s="680">
        <f>'F2 Weiterführung ER'!BD50</f>
        <v>0</v>
      </c>
      <c r="BE50" s="592">
        <f>SUM(BE51:BE54)</f>
        <v>0</v>
      </c>
      <c r="BF50" s="593">
        <f t="shared" ref="BF50" si="71">SUM(BF51:BF54)</f>
        <v>0</v>
      </c>
      <c r="BG50" s="593">
        <f t="shared" ref="BG50" si="72">SUM(BG51:BG54)</f>
        <v>0</v>
      </c>
      <c r="BH50" s="593">
        <f t="shared" ref="BH50" si="73">SUM(BH51:BH54)</f>
        <v>0</v>
      </c>
      <c r="BI50" s="594">
        <f t="shared" ref="BI50" si="74">SUM(BI51:BI54)</f>
        <v>0</v>
      </c>
    </row>
    <row r="51" spans="2:62" s="660" customFormat="1" ht="11.1" customHeight="1">
      <c r="B51" s="661"/>
      <c r="C51" s="699">
        <v>450</v>
      </c>
      <c r="D51" s="700" t="s">
        <v>199</v>
      </c>
      <c r="E51" s="700"/>
      <c r="F51" s="692"/>
      <c r="G51" s="646">
        <f>'F2 Weiterführung ER'!G51</f>
        <v>8</v>
      </c>
      <c r="H51" s="647">
        <f>'F2 Weiterführung ER'!H51</f>
        <v>5</v>
      </c>
      <c r="I51" s="648">
        <f>SUMIFS(O51:PN51,$O$11:$PN$11,I$11)</f>
        <v>0</v>
      </c>
      <c r="J51" s="649">
        <f>SUMIFS(O51:PN51,$O$11:$PN$11,J$11)</f>
        <v>0</v>
      </c>
      <c r="K51" s="649">
        <f>SUMIFS(O51:PN51,$O$11:$PN$11,K$11)</f>
        <v>0</v>
      </c>
      <c r="L51" s="649">
        <f>SUMIFS(O51:PN51,$O$11:$PN$11,L$11)</f>
        <v>0</v>
      </c>
      <c r="M51" s="595">
        <f>SUMIFS(O51:PN51,$O$11:$PN$11,M$11)</f>
        <v>0</v>
      </c>
      <c r="N51" s="602" t="str">
        <f t="shared" ref="N51:N59" si="75">IF(SUM(G51:M51)=SUM(O51:YQ51),"",SUM(O51:YQ51)-SUM(G51:M51))</f>
        <v/>
      </c>
      <c r="O51" s="646">
        <f>'F2 Weiterführung ER'!O51</f>
        <v>0</v>
      </c>
      <c r="P51" s="647">
        <f>'F2 Weiterführung ER'!P51</f>
        <v>0</v>
      </c>
      <c r="Q51" s="1093"/>
      <c r="R51" s="1003"/>
      <c r="S51" s="1003"/>
      <c r="T51" s="1003"/>
      <c r="U51" s="999"/>
      <c r="V51" s="665"/>
      <c r="W51" s="646">
        <f>'F2 Weiterführung ER'!W51</f>
        <v>0</v>
      </c>
      <c r="X51" s="647">
        <f>'F2 Weiterführung ER'!X51</f>
        <v>0</v>
      </c>
      <c r="Y51" s="1093"/>
      <c r="Z51" s="1003"/>
      <c r="AA51" s="1003"/>
      <c r="AB51" s="1003"/>
      <c r="AC51" s="999"/>
      <c r="AD51" s="665"/>
      <c r="AE51" s="646">
        <f>'F2 Weiterführung ER'!AE51</f>
        <v>0</v>
      </c>
      <c r="AF51" s="647">
        <f>'F2 Weiterführung ER'!AF51</f>
        <v>0</v>
      </c>
      <c r="AG51" s="1093"/>
      <c r="AH51" s="1003"/>
      <c r="AI51" s="1003"/>
      <c r="AJ51" s="1003"/>
      <c r="AK51" s="999"/>
      <c r="AL51" s="665"/>
      <c r="AM51" s="646">
        <f>'F2 Weiterführung ER'!AM51</f>
        <v>0</v>
      </c>
      <c r="AN51" s="647">
        <f>'F2 Weiterführung ER'!AN51</f>
        <v>0</v>
      </c>
      <c r="AO51" s="1093"/>
      <c r="AP51" s="1003"/>
      <c r="AQ51" s="1003"/>
      <c r="AR51" s="1003"/>
      <c r="AS51" s="999"/>
      <c r="AT51" s="665"/>
      <c r="AU51" s="646">
        <f>'F2 Weiterführung ER'!AU51</f>
        <v>8</v>
      </c>
      <c r="AV51" s="647">
        <f>'F2 Weiterführung ER'!AV51</f>
        <v>5</v>
      </c>
      <c r="AW51" s="1093"/>
      <c r="AX51" s="1003"/>
      <c r="AY51" s="1003"/>
      <c r="AZ51" s="1003"/>
      <c r="BA51" s="999"/>
      <c r="BB51" s="665"/>
      <c r="BC51" s="646">
        <f>'F2 Weiterführung ER'!BC51</f>
        <v>0</v>
      </c>
      <c r="BD51" s="647">
        <f>'F2 Weiterführung ER'!BD51</f>
        <v>0</v>
      </c>
      <c r="BE51" s="1093"/>
      <c r="BF51" s="1003"/>
      <c r="BG51" s="1003"/>
      <c r="BH51" s="1003"/>
      <c r="BI51" s="999"/>
      <c r="BJ51" s="665"/>
    </row>
    <row r="52" spans="2:62" s="660" customFormat="1" ht="11.1" customHeight="1">
      <c r="B52" s="661"/>
      <c r="C52" s="699">
        <v>4510</v>
      </c>
      <c r="D52" s="700" t="s">
        <v>204</v>
      </c>
      <c r="E52" s="700"/>
      <c r="F52" s="692"/>
      <c r="G52" s="646">
        <f>'F2 Weiterführung ER'!G52</f>
        <v>417</v>
      </c>
      <c r="H52" s="647">
        <f>'F2 Weiterführung ER'!H52</f>
        <v>331</v>
      </c>
      <c r="I52" s="648">
        <f>SUMIFS(O52:PN52,$O$11:$PN$11,I$11)</f>
        <v>320</v>
      </c>
      <c r="J52" s="649">
        <f>SUMIFS(O52:PN52,$O$11:$PN$11,J$11)</f>
        <v>300</v>
      </c>
      <c r="K52" s="649">
        <f>SUMIFS(O52:PN52,$O$11:$PN$11,K$11)</f>
        <v>280</v>
      </c>
      <c r="L52" s="649">
        <f>SUMIFS(O52:PN52,$O$11:$PN$11,L$11)</f>
        <v>260</v>
      </c>
      <c r="M52" s="595">
        <f>SUMIFS(O52:PN52,$O$11:$PN$11,M$11)</f>
        <v>240</v>
      </c>
      <c r="N52" s="602" t="str">
        <f t="shared" si="75"/>
        <v/>
      </c>
      <c r="O52" s="646">
        <f>'F2 Weiterführung ER'!O52</f>
        <v>0</v>
      </c>
      <c r="P52" s="647">
        <f>'F2 Weiterführung ER'!P52</f>
        <v>0</v>
      </c>
      <c r="Q52" s="1093"/>
      <c r="R52" s="1003"/>
      <c r="S52" s="1003"/>
      <c r="T52" s="1003"/>
      <c r="U52" s="999"/>
      <c r="V52" s="665"/>
      <c r="W52" s="646">
        <f>'F2 Weiterführung ER'!W52</f>
        <v>0</v>
      </c>
      <c r="X52" s="647">
        <f>'F2 Weiterführung ER'!X52</f>
        <v>0</v>
      </c>
      <c r="Y52" s="1093"/>
      <c r="Z52" s="1003"/>
      <c r="AA52" s="1003"/>
      <c r="AB52" s="1003"/>
      <c r="AC52" s="999"/>
      <c r="AD52" s="665"/>
      <c r="AE52" s="646">
        <f>'F2 Weiterführung ER'!AE52</f>
        <v>0</v>
      </c>
      <c r="AF52" s="647">
        <f>'F2 Weiterführung ER'!AF52</f>
        <v>0</v>
      </c>
      <c r="AG52" s="1093"/>
      <c r="AH52" s="1003"/>
      <c r="AI52" s="1003"/>
      <c r="AJ52" s="1003"/>
      <c r="AK52" s="999"/>
      <c r="AL52" s="665"/>
      <c r="AM52" s="646">
        <f>'F2 Weiterführung ER'!AM52</f>
        <v>0</v>
      </c>
      <c r="AN52" s="647">
        <f>'F2 Weiterführung ER'!AN52</f>
        <v>0</v>
      </c>
      <c r="AO52" s="1093">
        <v>50</v>
      </c>
      <c r="AP52" s="1003">
        <v>50</v>
      </c>
      <c r="AQ52" s="1003">
        <v>50</v>
      </c>
      <c r="AR52" s="1003">
        <v>50</v>
      </c>
      <c r="AS52" s="999">
        <v>50</v>
      </c>
      <c r="AT52" s="665"/>
      <c r="AU52" s="646">
        <f>'F2 Weiterführung ER'!AU52</f>
        <v>417</v>
      </c>
      <c r="AV52" s="647">
        <f>'F2 Weiterführung ER'!AV52</f>
        <v>331</v>
      </c>
      <c r="AW52" s="1093">
        <v>270</v>
      </c>
      <c r="AX52" s="1003">
        <v>250</v>
      </c>
      <c r="AY52" s="1003">
        <v>230</v>
      </c>
      <c r="AZ52" s="1003">
        <v>210</v>
      </c>
      <c r="BA52" s="999">
        <v>190</v>
      </c>
      <c r="BB52" s="665"/>
      <c r="BC52" s="646">
        <f>'F2 Weiterführung ER'!BC52</f>
        <v>0</v>
      </c>
      <c r="BD52" s="647">
        <f>'F2 Weiterführung ER'!BD52</f>
        <v>0</v>
      </c>
      <c r="BE52" s="1093"/>
      <c r="BF52" s="1003"/>
      <c r="BG52" s="1003"/>
      <c r="BH52" s="1003"/>
      <c r="BI52" s="999"/>
      <c r="BJ52" s="665"/>
    </row>
    <row r="53" spans="2:62" s="660" customFormat="1" ht="11.1" customHeight="1">
      <c r="B53" s="661"/>
      <c r="C53" s="699">
        <v>4511</v>
      </c>
      <c r="D53" s="700" t="s">
        <v>205</v>
      </c>
      <c r="E53" s="700"/>
      <c r="F53" s="932"/>
      <c r="G53" s="646">
        <f>'F2 Weiterführung ER'!G53</f>
        <v>0</v>
      </c>
      <c r="H53" s="647">
        <f>'F2 Weiterführung ER'!H53</f>
        <v>0</v>
      </c>
      <c r="I53" s="648">
        <f>SUMIFS(O53:PN53,$O$11:$PN$11,I$11)</f>
        <v>0</v>
      </c>
      <c r="J53" s="649">
        <f>SUMIFS(O53:PN53,$O$11:$PN$11,J$11)</f>
        <v>0</v>
      </c>
      <c r="K53" s="649">
        <f>SUMIFS(O53:PN53,$O$11:$PN$11,K$11)</f>
        <v>0</v>
      </c>
      <c r="L53" s="649">
        <f>SUMIFS(O53:PN53,$O$11:$PN$11,L$11)</f>
        <v>0</v>
      </c>
      <c r="M53" s="595">
        <f>SUMIFS(O53:PN53,$O$11:$PN$11,M$11)</f>
        <v>0</v>
      </c>
      <c r="N53" s="602" t="str">
        <f t="shared" si="75"/>
        <v/>
      </c>
      <c r="O53" s="646">
        <f>'F2 Weiterführung ER'!O53</f>
        <v>0</v>
      </c>
      <c r="P53" s="647">
        <f>'F2 Weiterführung ER'!P53</f>
        <v>0</v>
      </c>
      <c r="Q53" s="1093"/>
      <c r="R53" s="1003"/>
      <c r="S53" s="1003"/>
      <c r="T53" s="1003"/>
      <c r="U53" s="999"/>
      <c r="V53" s="665"/>
      <c r="W53" s="646">
        <f>'F2 Weiterführung ER'!W53</f>
        <v>0</v>
      </c>
      <c r="X53" s="647">
        <f>'F2 Weiterführung ER'!X53</f>
        <v>0</v>
      </c>
      <c r="Y53" s="1093"/>
      <c r="Z53" s="1003"/>
      <c r="AA53" s="1003"/>
      <c r="AB53" s="1003"/>
      <c r="AC53" s="999"/>
      <c r="AD53" s="665"/>
      <c r="AE53" s="646">
        <f>'F2 Weiterführung ER'!AE53</f>
        <v>0</v>
      </c>
      <c r="AF53" s="647">
        <f>'F2 Weiterführung ER'!AF53</f>
        <v>0</v>
      </c>
      <c r="AG53" s="1093"/>
      <c r="AH53" s="1003"/>
      <c r="AI53" s="1003"/>
      <c r="AJ53" s="1003"/>
      <c r="AK53" s="999"/>
      <c r="AL53" s="665"/>
      <c r="AM53" s="646">
        <f>'F2 Weiterführung ER'!AM53</f>
        <v>0</v>
      </c>
      <c r="AN53" s="647">
        <f>'F2 Weiterführung ER'!AN53</f>
        <v>0</v>
      </c>
      <c r="AO53" s="1093"/>
      <c r="AP53" s="1003"/>
      <c r="AQ53" s="1003"/>
      <c r="AR53" s="1003"/>
      <c r="AS53" s="999"/>
      <c r="AT53" s="665"/>
      <c r="AU53" s="646">
        <f>'F2 Weiterführung ER'!AU53</f>
        <v>0</v>
      </c>
      <c r="AV53" s="647">
        <f>'F2 Weiterführung ER'!AV53</f>
        <v>0</v>
      </c>
      <c r="AW53" s="1093"/>
      <c r="AX53" s="1003"/>
      <c r="AY53" s="1003"/>
      <c r="AZ53" s="1003"/>
      <c r="BA53" s="999"/>
      <c r="BB53" s="665"/>
      <c r="BC53" s="646">
        <f>'F2 Weiterführung ER'!BC53</f>
        <v>0</v>
      </c>
      <c r="BD53" s="647">
        <f>'F2 Weiterführung ER'!BD53</f>
        <v>0</v>
      </c>
      <c r="BE53" s="1093"/>
      <c r="BF53" s="1003"/>
      <c r="BG53" s="1003"/>
      <c r="BH53" s="1003"/>
      <c r="BI53" s="999"/>
      <c r="BJ53" s="665"/>
    </row>
    <row r="54" spans="2:62" s="660" customFormat="1" ht="11.1" customHeight="1">
      <c r="B54" s="661"/>
      <c r="C54" s="699">
        <v>4512</v>
      </c>
      <c r="D54" s="700" t="s">
        <v>292</v>
      </c>
      <c r="E54" s="700"/>
      <c r="F54" s="692"/>
      <c r="G54" s="646">
        <f>'F2 Weiterführung ER'!G54</f>
        <v>0</v>
      </c>
      <c r="H54" s="647">
        <f>'F2 Weiterführung ER'!H54</f>
        <v>0</v>
      </c>
      <c r="I54" s="648">
        <f>SUMIFS(O54:PN54,$O$11:$PN$11,I$11)</f>
        <v>0</v>
      </c>
      <c r="J54" s="649">
        <f>SUMIFS(O54:PN54,$O$11:$PN$11,J$11)</f>
        <v>0</v>
      </c>
      <c r="K54" s="649">
        <f>SUMIFS(O54:PN54,$O$11:$PN$11,K$11)</f>
        <v>0</v>
      </c>
      <c r="L54" s="649">
        <f>SUMIFS(O54:PN54,$O$11:$PN$11,L$11)</f>
        <v>0</v>
      </c>
      <c r="M54" s="595">
        <f>SUMIFS(O54:PN54,$O$11:$PN$11,M$11)</f>
        <v>0</v>
      </c>
      <c r="N54" s="602" t="str">
        <f t="shared" si="75"/>
        <v/>
      </c>
      <c r="O54" s="646">
        <f>'F2 Weiterführung ER'!O54</f>
        <v>0</v>
      </c>
      <c r="P54" s="647">
        <f>'F2 Weiterführung ER'!P54</f>
        <v>0</v>
      </c>
      <c r="Q54" s="1093"/>
      <c r="R54" s="1003"/>
      <c r="S54" s="1003"/>
      <c r="T54" s="1003"/>
      <c r="U54" s="999"/>
      <c r="V54" s="665"/>
      <c r="W54" s="646">
        <f>'F2 Weiterführung ER'!W54</f>
        <v>0</v>
      </c>
      <c r="X54" s="647">
        <f>'F2 Weiterführung ER'!X54</f>
        <v>0</v>
      </c>
      <c r="Y54" s="1093"/>
      <c r="Z54" s="1003"/>
      <c r="AA54" s="1003"/>
      <c r="AB54" s="1003"/>
      <c r="AC54" s="999"/>
      <c r="AD54" s="665"/>
      <c r="AE54" s="646">
        <f>'F2 Weiterführung ER'!AE54</f>
        <v>0</v>
      </c>
      <c r="AF54" s="647">
        <f>'F2 Weiterführung ER'!AF54</f>
        <v>0</v>
      </c>
      <c r="AG54" s="1093"/>
      <c r="AH54" s="1003"/>
      <c r="AI54" s="1003"/>
      <c r="AJ54" s="1003"/>
      <c r="AK54" s="999"/>
      <c r="AL54" s="665"/>
      <c r="AM54" s="646">
        <f>'F2 Weiterführung ER'!AM54</f>
        <v>0</v>
      </c>
      <c r="AN54" s="647">
        <f>'F2 Weiterführung ER'!AN54</f>
        <v>0</v>
      </c>
      <c r="AO54" s="1093"/>
      <c r="AP54" s="1003"/>
      <c r="AQ54" s="1003"/>
      <c r="AR54" s="1003"/>
      <c r="AS54" s="999"/>
      <c r="AT54" s="665"/>
      <c r="AU54" s="646">
        <f>'F2 Weiterführung ER'!AU54</f>
        <v>0</v>
      </c>
      <c r="AV54" s="647">
        <f>'F2 Weiterführung ER'!AV54</f>
        <v>0</v>
      </c>
      <c r="AW54" s="1093"/>
      <c r="AX54" s="1003"/>
      <c r="AY54" s="1003"/>
      <c r="AZ54" s="1003"/>
      <c r="BA54" s="999"/>
      <c r="BB54" s="665"/>
      <c r="BC54" s="646">
        <f>'F2 Weiterführung ER'!BC54</f>
        <v>0</v>
      </c>
      <c r="BD54" s="647">
        <f>'F2 Weiterführung ER'!BD54</f>
        <v>0</v>
      </c>
      <c r="BE54" s="1093"/>
      <c r="BF54" s="1003"/>
      <c r="BG54" s="1003"/>
      <c r="BH54" s="1003"/>
      <c r="BI54" s="999"/>
      <c r="BJ54" s="665"/>
    </row>
    <row r="55" spans="2:62" ht="11.1" customHeight="1">
      <c r="B55" s="374">
        <v>46</v>
      </c>
      <c r="C55" s="383"/>
      <c r="D55" s="1412" t="s">
        <v>98</v>
      </c>
      <c r="E55" s="1412"/>
      <c r="F55" s="1413"/>
      <c r="G55" s="679">
        <f>'F2 Weiterführung ER'!G55</f>
        <v>6942</v>
      </c>
      <c r="H55" s="680">
        <f>'F2 Weiterführung ER'!H55</f>
        <v>6837</v>
      </c>
      <c r="I55" s="422">
        <f>'F2 Weiterführung ER'!I55+'F5b DELTA ER'!I55+'F5b DELTA ER'!I56</f>
        <v>6747.1299999999992</v>
      </c>
      <c r="J55" s="420">
        <f>'F2 Weiterführung ER'!J55+'F5b DELTA ER'!J55+'F5b DELTA ER'!J56</f>
        <v>6648.3656499999988</v>
      </c>
      <c r="K55" s="420">
        <f>'F2 Weiterführung ER'!K55+'F5b DELTA ER'!K55+'F5b DELTA ER'!K56</f>
        <v>6589.7074782499985</v>
      </c>
      <c r="L55" s="420">
        <f>'F2 Weiterführung ER'!L55+'F5b DELTA ER'!L55+'F5b DELTA ER'!L56</f>
        <v>6591.1560156412479</v>
      </c>
      <c r="M55" s="423">
        <f>'F2 Weiterführung ER'!M55+'F5b DELTA ER'!M55+'F5b DELTA ER'!M56</f>
        <v>6572.7117957194541</v>
      </c>
      <c r="N55" s="602" t="str">
        <f t="shared" si="75"/>
        <v/>
      </c>
      <c r="O55" s="679">
        <f>'F2 Weiterführung ER'!O55</f>
        <v>52</v>
      </c>
      <c r="P55" s="680">
        <f>'F2 Weiterführung ER'!P55</f>
        <v>60</v>
      </c>
      <c r="Q55" s="592">
        <f>'F2 Weiterführung ER'!Q55+'F5b DELTA ER'!Q55+'F5b DELTA ER'!Q56</f>
        <v>60.3</v>
      </c>
      <c r="R55" s="593">
        <f>'F2 Weiterführung ER'!R55+'F5b DELTA ER'!R55+'F5b DELTA ER'!R56</f>
        <v>60.601499999999987</v>
      </c>
      <c r="S55" s="593">
        <f>'F2 Weiterführung ER'!S55+'F5b DELTA ER'!S55+'F5b DELTA ER'!S56</f>
        <v>60.90450749999998</v>
      </c>
      <c r="T55" s="593">
        <f>'F2 Weiterführung ER'!T55+'F5b DELTA ER'!T55+'F5b DELTA ER'!T56</f>
        <v>61.209030037499971</v>
      </c>
      <c r="U55" s="594">
        <f>'F2 Weiterführung ER'!U55+'F5b DELTA ER'!U55+'F5b DELTA ER'!U56</f>
        <v>61.515075187687465</v>
      </c>
      <c r="W55" s="679">
        <f>'F2 Weiterführung ER'!W55</f>
        <v>2881</v>
      </c>
      <c r="X55" s="680">
        <f>'F2 Weiterführung ER'!X55</f>
        <v>3035</v>
      </c>
      <c r="Y55" s="592">
        <f>'F2 Weiterführung ER'!Y55+'F5b DELTA ER'!Y55+'F5b DELTA ER'!Y56</f>
        <v>3050.1749999999997</v>
      </c>
      <c r="Z55" s="593">
        <f>'F2 Weiterführung ER'!Z55+'F5b DELTA ER'!Z55+'F5b DELTA ER'!Z56</f>
        <v>3065.4258749999995</v>
      </c>
      <c r="AA55" s="593">
        <f>'F2 Weiterführung ER'!AA55+'F5b DELTA ER'!AA55+'F5b DELTA ER'!AA56</f>
        <v>3080.7530043749989</v>
      </c>
      <c r="AB55" s="593">
        <f>'F2 Weiterführung ER'!AB55+'F5b DELTA ER'!AB55+'F5b DELTA ER'!AB56</f>
        <v>3096.1567693968736</v>
      </c>
      <c r="AC55" s="594">
        <f>'F2 Weiterführung ER'!AC55+'F5b DELTA ER'!AC55+'F5b DELTA ER'!AC56</f>
        <v>3111.6375532438578</v>
      </c>
      <c r="AE55" s="679">
        <f>'F2 Weiterführung ER'!AE55</f>
        <v>0</v>
      </c>
      <c r="AF55" s="680">
        <f>'F2 Weiterführung ER'!AF55</f>
        <v>0</v>
      </c>
      <c r="AG55" s="592">
        <f>'F2 Weiterführung ER'!AG55+'F5b DELTA ER'!AG55+'F5b DELTA ER'!AG56</f>
        <v>0</v>
      </c>
      <c r="AH55" s="593">
        <f>'F2 Weiterführung ER'!AH55+'F5b DELTA ER'!AH55+'F5b DELTA ER'!AH56</f>
        <v>0</v>
      </c>
      <c r="AI55" s="593">
        <f>'F2 Weiterführung ER'!AI55+'F5b DELTA ER'!AI55+'F5b DELTA ER'!AI56</f>
        <v>0</v>
      </c>
      <c r="AJ55" s="593">
        <f>'F2 Weiterführung ER'!AJ55+'F5b DELTA ER'!AJ55+'F5b DELTA ER'!AJ56</f>
        <v>0</v>
      </c>
      <c r="AK55" s="594">
        <f>'F2 Weiterführung ER'!AK55+'F5b DELTA ER'!AK55+'F5b DELTA ER'!AK56</f>
        <v>0</v>
      </c>
      <c r="AM55" s="679">
        <f>'F2 Weiterführung ER'!AM55</f>
        <v>1027</v>
      </c>
      <c r="AN55" s="680">
        <f>'F2 Weiterführung ER'!AN55</f>
        <v>1029</v>
      </c>
      <c r="AO55" s="592">
        <f>'F2 Weiterführung ER'!AO55+'F5b DELTA ER'!AO55+'F5b DELTA ER'!AO56</f>
        <v>1034.145</v>
      </c>
      <c r="AP55" s="593">
        <f>'F2 Weiterführung ER'!AP55+'F5b DELTA ER'!AP55+'F5b DELTA ER'!AP56</f>
        <v>1039.3157249999999</v>
      </c>
      <c r="AQ55" s="593">
        <f>'F2 Weiterführung ER'!AQ55+'F5b DELTA ER'!AQ55+'F5b DELTA ER'!AQ56</f>
        <v>1044.5123036249997</v>
      </c>
      <c r="AR55" s="593">
        <f>'F2 Weiterführung ER'!AR55+'F5b DELTA ER'!AR55+'F5b DELTA ER'!AR56</f>
        <v>1049.7348651431246</v>
      </c>
      <c r="AS55" s="594">
        <f>'F2 Weiterführung ER'!AS55+'F5b DELTA ER'!AS55+'F5b DELTA ER'!AS56</f>
        <v>1054.98353946884</v>
      </c>
      <c r="AU55" s="679">
        <f>'F2 Weiterführung ER'!AU55</f>
        <v>97</v>
      </c>
      <c r="AV55" s="680">
        <f>'F2 Weiterführung ER'!AV55</f>
        <v>99</v>
      </c>
      <c r="AW55" s="592">
        <f>'F2 Weiterführung ER'!AW55+'F5b DELTA ER'!AW55+'F5b DELTA ER'!AW56</f>
        <v>99.49499999999999</v>
      </c>
      <c r="AX55" s="593">
        <f>'F2 Weiterführung ER'!AX55+'F5b DELTA ER'!AX55+'F5b DELTA ER'!AX56</f>
        <v>99.992474999999985</v>
      </c>
      <c r="AY55" s="593">
        <f>'F2 Weiterführung ER'!AY55+'F5b DELTA ER'!AY55+'F5b DELTA ER'!AY56</f>
        <v>100.49243737499998</v>
      </c>
      <c r="AZ55" s="593">
        <f>'F2 Weiterführung ER'!AZ55+'F5b DELTA ER'!AZ55+'F5b DELTA ER'!AZ56</f>
        <v>100.99489956187497</v>
      </c>
      <c r="BA55" s="594">
        <f>'F2 Weiterführung ER'!BA55+'F5b DELTA ER'!BA55+'F5b DELTA ER'!BA56</f>
        <v>101.49987405968433</v>
      </c>
      <c r="BC55" s="679">
        <f>'F2 Weiterführung ER'!BC55</f>
        <v>2885</v>
      </c>
      <c r="BD55" s="680">
        <f>'F2 Weiterführung ER'!BD55</f>
        <v>2614</v>
      </c>
      <c r="BE55" s="592">
        <f>'F2 Weiterführung ER'!BE55+'F5b DELTA ER'!BE55+'F5b DELTA ER'!BE56</f>
        <v>2503.0149999999999</v>
      </c>
      <c r="BF55" s="593">
        <f>'F2 Weiterführung ER'!BF55+'F5b DELTA ER'!BF55+'F5b DELTA ER'!BF56</f>
        <v>2383.0300749999997</v>
      </c>
      <c r="BG55" s="593">
        <f>'F2 Weiterführung ER'!BG55+'F5b DELTA ER'!BG55+'F5b DELTA ER'!BG56</f>
        <v>2303.0452253749995</v>
      </c>
      <c r="BH55" s="593">
        <f>'F2 Weiterführung ER'!BH55+'F5b DELTA ER'!BH55+'F5b DELTA ER'!BH56</f>
        <v>2283.0604515018745</v>
      </c>
      <c r="BI55" s="594">
        <f>'F2 Weiterführung ER'!BI55+'F5b DELTA ER'!BI55+'F5b DELTA ER'!BI56</f>
        <v>2243.075753759384</v>
      </c>
    </row>
    <row r="56" spans="2:62" s="644" customFormat="1" ht="11.1" customHeight="1">
      <c r="B56" s="645"/>
      <c r="C56" s="642">
        <v>462</v>
      </c>
      <c r="D56" s="643"/>
      <c r="E56" s="1426" t="s">
        <v>176</v>
      </c>
      <c r="F56" s="1427"/>
      <c r="G56" s="646">
        <f>'F2 Weiterführung ER'!G56</f>
        <v>2884</v>
      </c>
      <c r="H56" s="647">
        <f>'F2 Weiterführung ER'!H56</f>
        <v>2611</v>
      </c>
      <c r="I56" s="648">
        <f>'F2 Weiterführung ER'!I56+'F5b DELTA ER'!I56</f>
        <v>2500</v>
      </c>
      <c r="J56" s="649">
        <f>'F2 Weiterführung ER'!J56+'F5b DELTA ER'!J56</f>
        <v>2380</v>
      </c>
      <c r="K56" s="649">
        <f>'F2 Weiterführung ER'!K56+'F5b DELTA ER'!K56</f>
        <v>2300</v>
      </c>
      <c r="L56" s="649">
        <f>'F2 Weiterführung ER'!L56+'F5b DELTA ER'!L56</f>
        <v>2280</v>
      </c>
      <c r="M56" s="595">
        <f>'F2 Weiterführung ER'!M56+'F5b DELTA ER'!M56</f>
        <v>2240</v>
      </c>
      <c r="N56" s="602" t="str">
        <f t="shared" si="75"/>
        <v/>
      </c>
      <c r="O56" s="646">
        <f>'F2 Weiterführung ER'!O56</f>
        <v>0</v>
      </c>
      <c r="P56" s="647">
        <f>'F2 Weiterführung ER'!P56</f>
        <v>0</v>
      </c>
      <c r="Q56" s="648">
        <f>'F2 Weiterführung ER'!Q56+'F5b DELTA ER'!Q56</f>
        <v>0</v>
      </c>
      <c r="R56" s="649">
        <f>'F2 Weiterführung ER'!R56+'F5b DELTA ER'!R56</f>
        <v>0</v>
      </c>
      <c r="S56" s="649">
        <f>'F2 Weiterführung ER'!S56+'F5b DELTA ER'!S56</f>
        <v>0</v>
      </c>
      <c r="T56" s="649">
        <f>'F2 Weiterführung ER'!T56+'F5b DELTA ER'!T56</f>
        <v>0</v>
      </c>
      <c r="U56" s="595">
        <f>'F2 Weiterführung ER'!U56+'F5b DELTA ER'!U56</f>
        <v>0</v>
      </c>
      <c r="W56" s="646">
        <f>'F2 Weiterführung ER'!W56</f>
        <v>0</v>
      </c>
      <c r="X56" s="647">
        <f>'F2 Weiterführung ER'!X56</f>
        <v>0</v>
      </c>
      <c r="Y56" s="648">
        <f>'F2 Weiterführung ER'!Y56+'F5b DELTA ER'!Y56</f>
        <v>0</v>
      </c>
      <c r="Z56" s="649">
        <f>'F2 Weiterführung ER'!Z56+'F5b DELTA ER'!Z56</f>
        <v>0</v>
      </c>
      <c r="AA56" s="649">
        <f>'F2 Weiterführung ER'!AA56+'F5b DELTA ER'!AA56</f>
        <v>0</v>
      </c>
      <c r="AB56" s="649">
        <f>'F2 Weiterführung ER'!AB56+'F5b DELTA ER'!AB56</f>
        <v>0</v>
      </c>
      <c r="AC56" s="595">
        <f>'F2 Weiterführung ER'!AC56+'F5b DELTA ER'!AC56</f>
        <v>0</v>
      </c>
      <c r="AE56" s="646">
        <f>'F2 Weiterführung ER'!AE56</f>
        <v>0</v>
      </c>
      <c r="AF56" s="647">
        <f>'F2 Weiterführung ER'!AF56</f>
        <v>0</v>
      </c>
      <c r="AG56" s="648">
        <f>'F2 Weiterführung ER'!AG56+'F5b DELTA ER'!AG56</f>
        <v>0</v>
      </c>
      <c r="AH56" s="649">
        <f>'F2 Weiterführung ER'!AH56+'F5b DELTA ER'!AH56</f>
        <v>0</v>
      </c>
      <c r="AI56" s="649">
        <f>'F2 Weiterführung ER'!AI56+'F5b DELTA ER'!AI56</f>
        <v>0</v>
      </c>
      <c r="AJ56" s="649">
        <f>'F2 Weiterführung ER'!AJ56+'F5b DELTA ER'!AJ56</f>
        <v>0</v>
      </c>
      <c r="AK56" s="595">
        <f>'F2 Weiterführung ER'!AK56+'F5b DELTA ER'!AK56</f>
        <v>0</v>
      </c>
      <c r="AM56" s="646">
        <f>'F2 Weiterführung ER'!AM56</f>
        <v>0</v>
      </c>
      <c r="AN56" s="647">
        <f>'F2 Weiterführung ER'!AN56</f>
        <v>0</v>
      </c>
      <c r="AO56" s="648">
        <f>'F2 Weiterführung ER'!AO56+'F5b DELTA ER'!AO56</f>
        <v>0</v>
      </c>
      <c r="AP56" s="649">
        <f>'F2 Weiterführung ER'!AP56+'F5b DELTA ER'!AP56</f>
        <v>0</v>
      </c>
      <c r="AQ56" s="649">
        <f>'F2 Weiterführung ER'!AQ56+'F5b DELTA ER'!AQ56</f>
        <v>0</v>
      </c>
      <c r="AR56" s="649">
        <f>'F2 Weiterführung ER'!AR56+'F5b DELTA ER'!AR56</f>
        <v>0</v>
      </c>
      <c r="AS56" s="595">
        <f>'F2 Weiterführung ER'!AS56+'F5b DELTA ER'!AS56</f>
        <v>0</v>
      </c>
      <c r="AU56" s="646">
        <f>'F2 Weiterführung ER'!AU56</f>
        <v>0</v>
      </c>
      <c r="AV56" s="647">
        <f>'F2 Weiterführung ER'!AV56</f>
        <v>0</v>
      </c>
      <c r="AW56" s="648">
        <f>'F2 Weiterführung ER'!AW56+'F5b DELTA ER'!AW56</f>
        <v>0</v>
      </c>
      <c r="AX56" s="649">
        <f>'F2 Weiterführung ER'!AX56+'F5b DELTA ER'!AX56</f>
        <v>0</v>
      </c>
      <c r="AY56" s="649">
        <f>'F2 Weiterführung ER'!AY56+'F5b DELTA ER'!AY56</f>
        <v>0</v>
      </c>
      <c r="AZ56" s="649">
        <f>'F2 Weiterführung ER'!AZ56+'F5b DELTA ER'!AZ56</f>
        <v>0</v>
      </c>
      <c r="BA56" s="595">
        <f>'F2 Weiterführung ER'!BA56+'F5b DELTA ER'!BA56</f>
        <v>0</v>
      </c>
      <c r="BC56" s="646">
        <f>'F2 Weiterführung ER'!BC56</f>
        <v>2884</v>
      </c>
      <c r="BD56" s="647">
        <f>'F2 Weiterführung ER'!BD56</f>
        <v>2611</v>
      </c>
      <c r="BE56" s="648">
        <f>'F2 Weiterführung ER'!BE56+'F5b DELTA ER'!BE56</f>
        <v>2500</v>
      </c>
      <c r="BF56" s="649">
        <f>'F2 Weiterführung ER'!BF56+'F5b DELTA ER'!BF56</f>
        <v>2380</v>
      </c>
      <c r="BG56" s="649">
        <f>'F2 Weiterführung ER'!BG56+'F5b DELTA ER'!BG56</f>
        <v>2300</v>
      </c>
      <c r="BH56" s="649">
        <f>'F2 Weiterführung ER'!BH56+'F5b DELTA ER'!BH56</f>
        <v>2280</v>
      </c>
      <c r="BI56" s="595">
        <f>'F2 Weiterführung ER'!BI56+'F5b DELTA ER'!BI56</f>
        <v>2240</v>
      </c>
    </row>
    <row r="57" spans="2:62" ht="11.1" customHeight="1">
      <c r="B57" s="374">
        <v>47</v>
      </c>
      <c r="C57" s="383"/>
      <c r="D57" s="1412" t="s">
        <v>25</v>
      </c>
      <c r="E57" s="1412"/>
      <c r="F57" s="1413"/>
      <c r="G57" s="420">
        <f>'F2 Weiterführung ER'!G57</f>
        <v>0</v>
      </c>
      <c r="H57" s="421">
        <f>'F2 Weiterführung ER'!H57</f>
        <v>0</v>
      </c>
      <c r="I57" s="422">
        <f>'F2 Weiterführung ER'!I57+'F5b DELTA ER'!I57</f>
        <v>0</v>
      </c>
      <c r="J57" s="420">
        <f>'F2 Weiterführung ER'!J57+'F5b DELTA ER'!J57</f>
        <v>0</v>
      </c>
      <c r="K57" s="420">
        <f>'F2 Weiterführung ER'!K57+'F5b DELTA ER'!K57</f>
        <v>0</v>
      </c>
      <c r="L57" s="420">
        <f>'F2 Weiterführung ER'!L57+'F5b DELTA ER'!L57</f>
        <v>0</v>
      </c>
      <c r="M57" s="423">
        <f>'F2 Weiterführung ER'!M57+'F5b DELTA ER'!M57</f>
        <v>0</v>
      </c>
      <c r="N57" s="602" t="str">
        <f t="shared" si="75"/>
        <v/>
      </c>
      <c r="O57" s="420">
        <f>'F2 Weiterführung ER'!O57</f>
        <v>0</v>
      </c>
      <c r="P57" s="421">
        <f>'F2 Weiterführung ER'!P57</f>
        <v>0</v>
      </c>
      <c r="Q57" s="422">
        <f>'F2 Weiterführung ER'!Q57+'F5b DELTA ER'!Q57</f>
        <v>0</v>
      </c>
      <c r="R57" s="420">
        <f>'F2 Weiterführung ER'!R57+'F5b DELTA ER'!R57</f>
        <v>0</v>
      </c>
      <c r="S57" s="420">
        <f>'F2 Weiterführung ER'!S57+'F5b DELTA ER'!S57</f>
        <v>0</v>
      </c>
      <c r="T57" s="420">
        <f>'F2 Weiterführung ER'!T57+'F5b DELTA ER'!T57</f>
        <v>0</v>
      </c>
      <c r="U57" s="423">
        <f>'F2 Weiterführung ER'!U57+'F5b DELTA ER'!U57</f>
        <v>0</v>
      </c>
      <c r="W57" s="420">
        <f>'F2 Weiterführung ER'!W57</f>
        <v>0</v>
      </c>
      <c r="X57" s="421">
        <f>'F2 Weiterführung ER'!X57</f>
        <v>0</v>
      </c>
      <c r="Y57" s="422">
        <f>'F2 Weiterführung ER'!Y57+'F5b DELTA ER'!Y57</f>
        <v>0</v>
      </c>
      <c r="Z57" s="420">
        <f>'F2 Weiterführung ER'!Z57+'F5b DELTA ER'!Z57</f>
        <v>0</v>
      </c>
      <c r="AA57" s="420">
        <f>'F2 Weiterführung ER'!AA57+'F5b DELTA ER'!AA57</f>
        <v>0</v>
      </c>
      <c r="AB57" s="420">
        <f>'F2 Weiterführung ER'!AB57+'F5b DELTA ER'!AB57</f>
        <v>0</v>
      </c>
      <c r="AC57" s="423">
        <f>'F2 Weiterführung ER'!AC57+'F5b DELTA ER'!AC57</f>
        <v>0</v>
      </c>
      <c r="AE57" s="420">
        <f>'F2 Weiterführung ER'!AE57</f>
        <v>0</v>
      </c>
      <c r="AF57" s="421">
        <f>'F2 Weiterführung ER'!AF57</f>
        <v>0</v>
      </c>
      <c r="AG57" s="422">
        <f>'F2 Weiterführung ER'!AG57+'F5b DELTA ER'!AG57</f>
        <v>0</v>
      </c>
      <c r="AH57" s="420">
        <f>'F2 Weiterführung ER'!AH57+'F5b DELTA ER'!AH57</f>
        <v>0</v>
      </c>
      <c r="AI57" s="420">
        <f>'F2 Weiterführung ER'!AI57+'F5b DELTA ER'!AI57</f>
        <v>0</v>
      </c>
      <c r="AJ57" s="420">
        <f>'F2 Weiterführung ER'!AJ57+'F5b DELTA ER'!AJ57</f>
        <v>0</v>
      </c>
      <c r="AK57" s="423">
        <f>'F2 Weiterführung ER'!AK57+'F5b DELTA ER'!AK57</f>
        <v>0</v>
      </c>
      <c r="AM57" s="420">
        <f>'F2 Weiterführung ER'!AM57</f>
        <v>0</v>
      </c>
      <c r="AN57" s="421">
        <f>'F2 Weiterführung ER'!AN57</f>
        <v>0</v>
      </c>
      <c r="AO57" s="422">
        <f>'F2 Weiterführung ER'!AO57+'F5b DELTA ER'!AO57</f>
        <v>0</v>
      </c>
      <c r="AP57" s="420">
        <f>'F2 Weiterführung ER'!AP57+'F5b DELTA ER'!AP57</f>
        <v>0</v>
      </c>
      <c r="AQ57" s="420">
        <f>'F2 Weiterführung ER'!AQ57+'F5b DELTA ER'!AQ57</f>
        <v>0</v>
      </c>
      <c r="AR57" s="420">
        <f>'F2 Weiterführung ER'!AR57+'F5b DELTA ER'!AR57</f>
        <v>0</v>
      </c>
      <c r="AS57" s="423">
        <f>'F2 Weiterführung ER'!AS57+'F5b DELTA ER'!AS57</f>
        <v>0</v>
      </c>
      <c r="AU57" s="420">
        <f>'F2 Weiterführung ER'!AU57</f>
        <v>0</v>
      </c>
      <c r="AV57" s="421">
        <f>'F2 Weiterführung ER'!AV57</f>
        <v>0</v>
      </c>
      <c r="AW57" s="422">
        <f>'F2 Weiterführung ER'!AW57+'F5b DELTA ER'!AW57</f>
        <v>0</v>
      </c>
      <c r="AX57" s="420">
        <f>'F2 Weiterführung ER'!AX57+'F5b DELTA ER'!AX57</f>
        <v>0</v>
      </c>
      <c r="AY57" s="420">
        <f>'F2 Weiterführung ER'!AY57+'F5b DELTA ER'!AY57</f>
        <v>0</v>
      </c>
      <c r="AZ57" s="420">
        <f>'F2 Weiterführung ER'!AZ57+'F5b DELTA ER'!AZ57</f>
        <v>0</v>
      </c>
      <c r="BA57" s="423">
        <f>'F2 Weiterführung ER'!BA57+'F5b DELTA ER'!BA57</f>
        <v>0</v>
      </c>
      <c r="BC57" s="420">
        <f>'F2 Weiterführung ER'!BC57</f>
        <v>0</v>
      </c>
      <c r="BD57" s="421">
        <f>'F2 Weiterführung ER'!BD57</f>
        <v>0</v>
      </c>
      <c r="BE57" s="422">
        <f>'F2 Weiterführung ER'!BE57+'F5b DELTA ER'!BE57</f>
        <v>0</v>
      </c>
      <c r="BF57" s="420">
        <f>'F2 Weiterführung ER'!BF57+'F5b DELTA ER'!BF57</f>
        <v>0</v>
      </c>
      <c r="BG57" s="420">
        <f>'F2 Weiterführung ER'!BG57+'F5b DELTA ER'!BG57</f>
        <v>0</v>
      </c>
      <c r="BH57" s="420">
        <f>'F2 Weiterführung ER'!BH57+'F5b DELTA ER'!BH57</f>
        <v>0</v>
      </c>
      <c r="BI57" s="423">
        <f>'F2 Weiterführung ER'!BI57+'F5b DELTA ER'!BI57</f>
        <v>0</v>
      </c>
    </row>
    <row r="58" spans="2:62" s="660" customFormat="1" ht="11.1" customHeight="1">
      <c r="B58" s="661">
        <v>48</v>
      </c>
      <c r="C58" s="667"/>
      <c r="D58" s="1428" t="s">
        <v>97</v>
      </c>
      <c r="E58" s="1428"/>
      <c r="F58" s="1429"/>
      <c r="G58" s="679">
        <f>'F2 Weiterführung ER'!G58</f>
        <v>0</v>
      </c>
      <c r="H58" s="680">
        <f>'F2 Weiterführung ER'!H58</f>
        <v>0</v>
      </c>
      <c r="I58" s="422">
        <f>'F2 Weiterführung ER'!I58+'F5b DELTA ER'!I58+'F5b DELTA ER'!I59+I59</f>
        <v>0</v>
      </c>
      <c r="J58" s="420">
        <f>'F2 Weiterführung ER'!J58+'F5b DELTA ER'!J58+'F5b DELTA ER'!J59+J59</f>
        <v>0</v>
      </c>
      <c r="K58" s="420">
        <f>'F2 Weiterführung ER'!K58+'F5b DELTA ER'!K58+'F5b DELTA ER'!K59+K59</f>
        <v>0</v>
      </c>
      <c r="L58" s="420">
        <f>'F2 Weiterführung ER'!L58+'F5b DELTA ER'!L58+'F5b DELTA ER'!L59+L59</f>
        <v>0</v>
      </c>
      <c r="M58" s="423">
        <f>'F2 Weiterführung ER'!M58+'F5b DELTA ER'!M58+'F5b DELTA ER'!M59+M59</f>
        <v>0</v>
      </c>
      <c r="N58" s="602" t="str">
        <f t="shared" si="75"/>
        <v/>
      </c>
      <c r="O58" s="679">
        <f>'F2 Weiterführung ER'!O58</f>
        <v>0</v>
      </c>
      <c r="P58" s="680">
        <f>'F2 Weiterführung ER'!P58</f>
        <v>0</v>
      </c>
      <c r="Q58" s="592">
        <f>'F2 Weiterführung ER'!Q58+'F5b DELTA ER'!Q58+'F5b DELTA ER'!Q59+Q59</f>
        <v>0</v>
      </c>
      <c r="R58" s="593">
        <f>'F2 Weiterführung ER'!R58+'F5b DELTA ER'!R58+'F5b DELTA ER'!R59+R59</f>
        <v>0</v>
      </c>
      <c r="S58" s="593">
        <f>'F2 Weiterführung ER'!S58+'F5b DELTA ER'!S58+'F5b DELTA ER'!S59+S59</f>
        <v>0</v>
      </c>
      <c r="T58" s="593">
        <f>'F2 Weiterführung ER'!T58+'F5b DELTA ER'!T58+'F5b DELTA ER'!T59+T59</f>
        <v>0</v>
      </c>
      <c r="U58" s="594">
        <f>'F2 Weiterführung ER'!U58+'F5b DELTA ER'!U58+'F5b DELTA ER'!U59+U59</f>
        <v>0</v>
      </c>
      <c r="V58" s="86"/>
      <c r="W58" s="679">
        <f>'F2 Weiterführung ER'!W58</f>
        <v>0</v>
      </c>
      <c r="X58" s="680">
        <f>'F2 Weiterführung ER'!X58</f>
        <v>0</v>
      </c>
      <c r="Y58" s="592">
        <f>'F2 Weiterführung ER'!Y58+'F5b DELTA ER'!Y58+'F5b DELTA ER'!Y59+Y59</f>
        <v>0</v>
      </c>
      <c r="Z58" s="593">
        <f>'F2 Weiterführung ER'!Z58+'F5b DELTA ER'!Z58+'F5b DELTA ER'!Z59+Z59</f>
        <v>0</v>
      </c>
      <c r="AA58" s="593">
        <f>'F2 Weiterführung ER'!AA58+'F5b DELTA ER'!AA58+'F5b DELTA ER'!AA59+AA59</f>
        <v>0</v>
      </c>
      <c r="AB58" s="593">
        <f>'F2 Weiterführung ER'!AB58+'F5b DELTA ER'!AB58+'F5b DELTA ER'!AB59+AB59</f>
        <v>0</v>
      </c>
      <c r="AC58" s="594">
        <f>'F2 Weiterführung ER'!AC58+'F5b DELTA ER'!AC58+'F5b DELTA ER'!AC59+AC59</f>
        <v>0</v>
      </c>
      <c r="AD58" s="86"/>
      <c r="AE58" s="679">
        <f>'F2 Weiterführung ER'!AE58</f>
        <v>0</v>
      </c>
      <c r="AF58" s="680">
        <f>'F2 Weiterführung ER'!AF58</f>
        <v>0</v>
      </c>
      <c r="AG58" s="592">
        <f>'F2 Weiterführung ER'!AG58+'F5b DELTA ER'!AG58+'F5b DELTA ER'!AG59+AG59</f>
        <v>0</v>
      </c>
      <c r="AH58" s="593">
        <f>'F2 Weiterführung ER'!AH58+'F5b DELTA ER'!AH58+'F5b DELTA ER'!AH59+AH59</f>
        <v>0</v>
      </c>
      <c r="AI58" s="593">
        <f>'F2 Weiterführung ER'!AI58+'F5b DELTA ER'!AI58+'F5b DELTA ER'!AI59+AI59</f>
        <v>0</v>
      </c>
      <c r="AJ58" s="593">
        <f>'F2 Weiterführung ER'!AJ58+'F5b DELTA ER'!AJ58+'F5b DELTA ER'!AJ59+AJ59</f>
        <v>0</v>
      </c>
      <c r="AK58" s="594">
        <f>'F2 Weiterführung ER'!AK58+'F5b DELTA ER'!AK58+'F5b DELTA ER'!AK59+AK59</f>
        <v>0</v>
      </c>
      <c r="AL58" s="86"/>
      <c r="AM58" s="679">
        <f>'F2 Weiterführung ER'!AM58</f>
        <v>0</v>
      </c>
      <c r="AN58" s="680">
        <f>'F2 Weiterführung ER'!AN58</f>
        <v>0</v>
      </c>
      <c r="AO58" s="592">
        <f>'F2 Weiterführung ER'!AO58+'F5b DELTA ER'!AO58+'F5b DELTA ER'!AO59+AO59</f>
        <v>0</v>
      </c>
      <c r="AP58" s="593">
        <f>'F2 Weiterführung ER'!AP58+'F5b DELTA ER'!AP58+'F5b DELTA ER'!AP59+AP59</f>
        <v>0</v>
      </c>
      <c r="AQ58" s="593">
        <f>'F2 Weiterführung ER'!AQ58+'F5b DELTA ER'!AQ58+'F5b DELTA ER'!AQ59+AQ59</f>
        <v>0</v>
      </c>
      <c r="AR58" s="593">
        <f>'F2 Weiterführung ER'!AR58+'F5b DELTA ER'!AR58+'F5b DELTA ER'!AR59+AR59</f>
        <v>0</v>
      </c>
      <c r="AS58" s="594">
        <f>'F2 Weiterführung ER'!AS58+'F5b DELTA ER'!AS58+'F5b DELTA ER'!AS59+AS59</f>
        <v>0</v>
      </c>
      <c r="AT58" s="86"/>
      <c r="AU58" s="679">
        <f>'F2 Weiterführung ER'!AU58</f>
        <v>0</v>
      </c>
      <c r="AV58" s="680">
        <f>'F2 Weiterführung ER'!AV58</f>
        <v>0</v>
      </c>
      <c r="AW58" s="592">
        <f>'F2 Weiterführung ER'!AW58+'F5b DELTA ER'!AW58+'F5b DELTA ER'!AW59+AW59</f>
        <v>0</v>
      </c>
      <c r="AX58" s="593">
        <f>'F2 Weiterführung ER'!AX58+'F5b DELTA ER'!AX58+'F5b DELTA ER'!AX59+AX59</f>
        <v>0</v>
      </c>
      <c r="AY58" s="593">
        <f>'F2 Weiterführung ER'!AY58+'F5b DELTA ER'!AY58+'F5b DELTA ER'!AY59+AY59</f>
        <v>0</v>
      </c>
      <c r="AZ58" s="593">
        <f>'F2 Weiterführung ER'!AZ58+'F5b DELTA ER'!AZ58+'F5b DELTA ER'!AZ59+AZ59</f>
        <v>0</v>
      </c>
      <c r="BA58" s="594">
        <f>'F2 Weiterführung ER'!BA58+'F5b DELTA ER'!BA58+'F5b DELTA ER'!BA59+BA59</f>
        <v>0</v>
      </c>
      <c r="BB58" s="86"/>
      <c r="BC58" s="679">
        <f>'F2 Weiterführung ER'!BC58</f>
        <v>0</v>
      </c>
      <c r="BD58" s="680">
        <f>'F2 Weiterführung ER'!BD58</f>
        <v>0</v>
      </c>
      <c r="BE58" s="592">
        <f>'F2 Weiterführung ER'!BE58+'F5b DELTA ER'!BE58+'F5b DELTA ER'!BE59+BE59</f>
        <v>0</v>
      </c>
      <c r="BF58" s="593">
        <f>'F2 Weiterführung ER'!BF58+'F5b DELTA ER'!BF58+'F5b DELTA ER'!BF59+BF59</f>
        <v>0</v>
      </c>
      <c r="BG58" s="593">
        <f>'F2 Weiterführung ER'!BG58+'F5b DELTA ER'!BG58+'F5b DELTA ER'!BG59+BG59</f>
        <v>0</v>
      </c>
      <c r="BH58" s="593">
        <f>'F2 Weiterführung ER'!BH58+'F5b DELTA ER'!BH58+'F5b DELTA ER'!BH59+BH59</f>
        <v>0</v>
      </c>
      <c r="BI58" s="594">
        <f>'F2 Weiterführung ER'!BI58+'F5b DELTA ER'!BI58+'F5b DELTA ER'!BI59+BI59</f>
        <v>0</v>
      </c>
      <c r="BJ58" s="86"/>
    </row>
    <row r="59" spans="2:62" s="644" customFormat="1" ht="11.1" customHeight="1">
      <c r="B59" s="666"/>
      <c r="C59" s="651">
        <v>489</v>
      </c>
      <c r="D59" s="691" t="s">
        <v>200</v>
      </c>
      <c r="E59" s="691"/>
      <c r="F59" s="658"/>
      <c r="G59" s="646">
        <v>0</v>
      </c>
      <c r="H59" s="647">
        <v>0</v>
      </c>
      <c r="I59" s="648">
        <v>0</v>
      </c>
      <c r="J59" s="649">
        <v>0</v>
      </c>
      <c r="K59" s="649">
        <v>0</v>
      </c>
      <c r="L59" s="649">
        <v>0</v>
      </c>
      <c r="M59" s="595">
        <v>0</v>
      </c>
      <c r="N59" s="602" t="str">
        <f t="shared" si="75"/>
        <v/>
      </c>
      <c r="O59" s="646">
        <f>'F2 Weiterführung ER'!O59</f>
        <v>0</v>
      </c>
      <c r="P59" s="647">
        <f>'F2 Weiterführung ER'!P59</f>
        <v>0</v>
      </c>
      <c r="Q59" s="1093"/>
      <c r="R59" s="1003"/>
      <c r="S59" s="1003"/>
      <c r="T59" s="1003"/>
      <c r="U59" s="999"/>
      <c r="V59" s="665"/>
      <c r="W59" s="646">
        <f>'F2 Weiterführung ER'!W59</f>
        <v>0</v>
      </c>
      <c r="X59" s="647">
        <f>'F2 Weiterführung ER'!X59</f>
        <v>0</v>
      </c>
      <c r="Y59" s="1093"/>
      <c r="Z59" s="1003"/>
      <c r="AA59" s="1003"/>
      <c r="AB59" s="1003"/>
      <c r="AC59" s="999"/>
      <c r="AD59" s="665"/>
      <c r="AE59" s="646">
        <f>'F2 Weiterführung ER'!AE59</f>
        <v>0</v>
      </c>
      <c r="AF59" s="647">
        <f>'F2 Weiterführung ER'!AF59</f>
        <v>0</v>
      </c>
      <c r="AG59" s="1093"/>
      <c r="AH59" s="1003"/>
      <c r="AI59" s="1003"/>
      <c r="AJ59" s="1003"/>
      <c r="AK59" s="999"/>
      <c r="AL59" s="665"/>
      <c r="AM59" s="646">
        <f>'F2 Weiterführung ER'!AM59</f>
        <v>0</v>
      </c>
      <c r="AN59" s="647">
        <f>'F2 Weiterführung ER'!AN59</f>
        <v>0</v>
      </c>
      <c r="AO59" s="1093"/>
      <c r="AP59" s="1003"/>
      <c r="AQ59" s="1003"/>
      <c r="AR59" s="1003"/>
      <c r="AS59" s="999"/>
      <c r="AT59" s="665"/>
      <c r="AU59" s="646">
        <f>'F2 Weiterführung ER'!AU59</f>
        <v>0</v>
      </c>
      <c r="AV59" s="647">
        <f>'F2 Weiterführung ER'!AV59</f>
        <v>0</v>
      </c>
      <c r="AW59" s="1093"/>
      <c r="AX59" s="1003"/>
      <c r="AY59" s="1003"/>
      <c r="AZ59" s="1003"/>
      <c r="BA59" s="999"/>
      <c r="BB59" s="665"/>
      <c r="BC59" s="646">
        <f>'F2 Weiterführung ER'!BC59</f>
        <v>0</v>
      </c>
      <c r="BD59" s="647">
        <f>'F2 Weiterführung ER'!BD59</f>
        <v>0</v>
      </c>
      <c r="BE59" s="1093"/>
      <c r="BF59" s="1003"/>
      <c r="BG59" s="1003"/>
      <c r="BH59" s="1003"/>
      <c r="BI59" s="999"/>
      <c r="BJ59" s="665"/>
    </row>
    <row r="60" spans="2:62" s="660" customFormat="1" ht="11.1" customHeight="1">
      <c r="B60" s="661">
        <v>49</v>
      </c>
      <c r="C60" s="667"/>
      <c r="D60" s="1080" t="s">
        <v>175</v>
      </c>
      <c r="E60" s="1080"/>
      <c r="F60" s="1081"/>
      <c r="G60" s="679">
        <f>'F2 Weiterführung ER'!G60</f>
        <v>2743</v>
      </c>
      <c r="H60" s="680">
        <f>'F2 Weiterführung ER'!H60</f>
        <v>3026</v>
      </c>
      <c r="I60" s="422">
        <f>'F2 Weiterführung ER'!I60+'F5b DELTA ER'!I60+'F5b DELTA ER'!I61</f>
        <v>3065.9575</v>
      </c>
      <c r="J60" s="420">
        <f>'F2 Weiterführung ER'!J60+'F5b DELTA ER'!J60+'F5b DELTA ER'!J61</f>
        <v>3109.5724999999998</v>
      </c>
      <c r="K60" s="420">
        <f>'F2 Weiterführung ER'!K60+'F5b DELTA ER'!K60+'F5b DELTA ER'!K61</f>
        <v>3162.7286560606053</v>
      </c>
      <c r="L60" s="420">
        <f>'F2 Weiterführung ER'!L60+'F5b DELTA ER'!L60+'F5b DELTA ER'!L61</f>
        <v>3180.8037962121207</v>
      </c>
      <c r="M60" s="423">
        <f>'F2 Weiterführung ER'!M60+'F5b DELTA ER'!M60+'F5b DELTA ER'!M61</f>
        <v>3190.3931717462115</v>
      </c>
      <c r="N60" s="1166" t="str">
        <f>IF(SUM(G60:M60)=SUM(O60:YQ60),"",SUM(O60:YQ60)-SUM(G60:M60))</f>
        <v/>
      </c>
      <c r="O60" s="679">
        <f>'F2 Weiterführung ER'!O60</f>
        <v>576</v>
      </c>
      <c r="P60" s="680">
        <f>'F2 Weiterführung ER'!P60</f>
        <v>618</v>
      </c>
      <c r="Q60" s="422">
        <f>'F2 Weiterführung ER'!Q60+'F5b DELTA ER'!Q60+'F5b DELTA ER'!Q61</f>
        <v>621.08999999999992</v>
      </c>
      <c r="R60" s="420">
        <f>'F2 Weiterführung ER'!R60+'F5b DELTA ER'!R60+'F5b DELTA ER'!R61</f>
        <v>621.08999999999992</v>
      </c>
      <c r="S60" s="420">
        <f>'F2 Weiterführung ER'!S60+'F5b DELTA ER'!S60+'F5b DELTA ER'!S61</f>
        <v>624.19544999999982</v>
      </c>
      <c r="T60" s="420">
        <f>'F2 Weiterführung ER'!T60+'F5b DELTA ER'!T60+'F5b DELTA ER'!T61</f>
        <v>624.19544999999982</v>
      </c>
      <c r="U60" s="423">
        <f>'F2 Weiterführung ER'!U60+'F5b DELTA ER'!U60+'F5b DELTA ER'!U61</f>
        <v>627.31642724999972</v>
      </c>
      <c r="W60" s="679">
        <f>'F2 Weiterführung ER'!W60</f>
        <v>1670</v>
      </c>
      <c r="X60" s="680">
        <f>'F2 Weiterführung ER'!X60</f>
        <v>1859</v>
      </c>
      <c r="Y60" s="422">
        <f>'F2 Weiterführung ER'!Y60+'F5b DELTA ER'!Y60+'F5b DELTA ER'!Y61</f>
        <v>1868.2949999999998</v>
      </c>
      <c r="Z60" s="420">
        <f>'F2 Weiterführung ER'!Z60+'F5b DELTA ER'!Z60+'F5b DELTA ER'!Z61</f>
        <v>1868.2949999999998</v>
      </c>
      <c r="AA60" s="420">
        <f>'F2 Weiterführung ER'!AA60+'F5b DELTA ER'!AA60+'F5b DELTA ER'!AA61</f>
        <v>1877.6364749999996</v>
      </c>
      <c r="AB60" s="420">
        <f>'F2 Weiterführung ER'!AB60+'F5b DELTA ER'!AB60+'F5b DELTA ER'!AB61</f>
        <v>1877.6364749999996</v>
      </c>
      <c r="AC60" s="423">
        <f>'F2 Weiterführung ER'!AC60+'F5b DELTA ER'!AC60+'F5b DELTA ER'!AC61</f>
        <v>1887.0246573749994</v>
      </c>
      <c r="AE60" s="679">
        <f>'F2 Weiterführung ER'!AE60</f>
        <v>0</v>
      </c>
      <c r="AF60" s="680">
        <f>'F2 Weiterführung ER'!AF60</f>
        <v>0</v>
      </c>
      <c r="AG60" s="422">
        <f>'F2 Weiterführung ER'!AG60+'F5b DELTA ER'!AG60+'F5b DELTA ER'!AG61</f>
        <v>0</v>
      </c>
      <c r="AH60" s="420">
        <f>'F2 Weiterführung ER'!AH60+'F5b DELTA ER'!AH60+'F5b DELTA ER'!AH61</f>
        <v>0</v>
      </c>
      <c r="AI60" s="420">
        <f>'F2 Weiterführung ER'!AI60+'F5b DELTA ER'!AI60+'F5b DELTA ER'!AI61</f>
        <v>0</v>
      </c>
      <c r="AJ60" s="420">
        <f>'F2 Weiterführung ER'!AJ60+'F5b DELTA ER'!AJ60+'F5b DELTA ER'!AJ61</f>
        <v>0</v>
      </c>
      <c r="AK60" s="423">
        <f>'F2 Weiterführung ER'!AK60+'F5b DELTA ER'!AK60+'F5b DELTA ER'!AK61</f>
        <v>0</v>
      </c>
      <c r="AM60" s="679">
        <f>'F2 Weiterführung ER'!AM60</f>
        <v>20</v>
      </c>
      <c r="AN60" s="680">
        <f>'F2 Weiterführung ER'!AN60</f>
        <v>19</v>
      </c>
      <c r="AO60" s="422">
        <f>'F2 Weiterführung ER'!AO60+'F5b DELTA ER'!AO60+'F5b DELTA ER'!AO61</f>
        <v>19.094999999999999</v>
      </c>
      <c r="AP60" s="420">
        <f>'F2 Weiterführung ER'!AP60+'F5b DELTA ER'!AP60+'F5b DELTA ER'!AP61</f>
        <v>19.094999999999999</v>
      </c>
      <c r="AQ60" s="420">
        <f>'F2 Weiterführung ER'!AQ60+'F5b DELTA ER'!AQ60+'F5b DELTA ER'!AQ61</f>
        <v>19.190474999999996</v>
      </c>
      <c r="AR60" s="420">
        <f>'F2 Weiterführung ER'!AR60+'F5b DELTA ER'!AR60+'F5b DELTA ER'!AR61</f>
        <v>19.190474999999996</v>
      </c>
      <c r="AS60" s="423">
        <f>'F2 Weiterführung ER'!AS60+'F5b DELTA ER'!AS60+'F5b DELTA ER'!AS61</f>
        <v>19.286427374999995</v>
      </c>
      <c r="AU60" s="679">
        <f>'F2 Weiterführung ER'!AU60</f>
        <v>66</v>
      </c>
      <c r="AV60" s="680">
        <f>'F2 Weiterführung ER'!AV60</f>
        <v>63</v>
      </c>
      <c r="AW60" s="422">
        <f>'F2 Weiterführung ER'!AW60+'F5b DELTA ER'!AW60+'F5b DELTA ER'!AW61</f>
        <v>63.314999999999991</v>
      </c>
      <c r="AX60" s="420">
        <f>'F2 Weiterführung ER'!AX60+'F5b DELTA ER'!AX60+'F5b DELTA ER'!AX61</f>
        <v>63.314999999999991</v>
      </c>
      <c r="AY60" s="420">
        <f>'F2 Weiterführung ER'!AY60+'F5b DELTA ER'!AY60+'F5b DELTA ER'!AY61</f>
        <v>63.631574999999984</v>
      </c>
      <c r="AZ60" s="420">
        <f>'F2 Weiterführung ER'!AZ60+'F5b DELTA ER'!AZ60+'F5b DELTA ER'!AZ61</f>
        <v>63.631574999999984</v>
      </c>
      <c r="BA60" s="423">
        <f>'F2 Weiterführung ER'!BA60+'F5b DELTA ER'!BA60+'F5b DELTA ER'!BA61</f>
        <v>63.949732874999974</v>
      </c>
      <c r="BC60" s="679">
        <f>'F2 Weiterführung ER'!BC60</f>
        <v>411</v>
      </c>
      <c r="BD60" s="680">
        <f>'F2 Weiterführung ER'!BD60</f>
        <v>467</v>
      </c>
      <c r="BE60" s="422">
        <f>'F2 Weiterführung ER'!BE60+'F5b DELTA ER'!BE60+'F5b DELTA ER'!BE61</f>
        <v>494.16250000000002</v>
      </c>
      <c r="BF60" s="420">
        <f>'F2 Weiterführung ER'!BF60+'F5b DELTA ER'!BF60+'F5b DELTA ER'!BF61</f>
        <v>537.77750000000003</v>
      </c>
      <c r="BG60" s="420">
        <f>'F2 Weiterführung ER'!BG60+'F5b DELTA ER'!BG60+'F5b DELTA ER'!BG61</f>
        <v>578.07468106060605</v>
      </c>
      <c r="BH60" s="420">
        <f>'F2 Weiterführung ER'!BH60+'F5b DELTA ER'!BH60+'F5b DELTA ER'!BH61</f>
        <v>596.1498212121212</v>
      </c>
      <c r="BI60" s="423">
        <f>'F2 Weiterführung ER'!BI60+'F5b DELTA ER'!BI60+'F5b DELTA ER'!BI61</f>
        <v>592.81592687121213</v>
      </c>
    </row>
    <row r="61" spans="2:62" s="644" customFormat="1" ht="11.1" customHeight="1">
      <c r="B61" s="650"/>
      <c r="C61" s="651">
        <v>494</v>
      </c>
      <c r="D61" s="643"/>
      <c r="E61" s="1426" t="s">
        <v>151</v>
      </c>
      <c r="F61" s="1427"/>
      <c r="G61" s="652">
        <f>'F2 Weiterführung ER'!G61</f>
        <v>497</v>
      </c>
      <c r="H61" s="653">
        <f>'F2 Weiterführung ER'!H61</f>
        <v>549</v>
      </c>
      <c r="I61" s="1073">
        <f>'F2 Weiterführung ER'!I61+'F5b DELTA ER'!I61</f>
        <v>576.57249999999999</v>
      </c>
      <c r="J61" s="1074">
        <f>'F2 Weiterführung ER'!J61+'F5b DELTA ER'!J61</f>
        <v>620.1875</v>
      </c>
      <c r="K61" s="1074">
        <f>'F2 Weiterführung ER'!K61+'F5b DELTA ER'!K61</f>
        <v>660.89673106060604</v>
      </c>
      <c r="L61" s="1074">
        <f>'F2 Weiterführung ER'!L61+'F5b DELTA ER'!L61</f>
        <v>678.97187121212119</v>
      </c>
      <c r="M61" s="654">
        <f>'F2 Weiterführung ER'!M61+'F5b DELTA ER'!M61</f>
        <v>676.05208712121214</v>
      </c>
      <c r="N61" s="602" t="str">
        <f>IF(SUM(G61:M61)=SUM(O61:YQ61),"",SUM(O61:YQ61)-SUM(G61:M61))</f>
        <v/>
      </c>
      <c r="O61" s="652">
        <f>'F2 Weiterführung ER'!O61</f>
        <v>0</v>
      </c>
      <c r="P61" s="653">
        <f>'F2 Weiterführung ER'!P61</f>
        <v>0</v>
      </c>
      <c r="Q61" s="696">
        <f>'F2 Weiterführung ER'!Q61+'F5b DELTA ER'!Q61</f>
        <v>0</v>
      </c>
      <c r="R61" s="697">
        <f>'F2 Weiterführung ER'!R61+'F5b DELTA ER'!R61</f>
        <v>0</v>
      </c>
      <c r="S61" s="697">
        <f>'F2 Weiterführung ER'!S61+'F5b DELTA ER'!S61</f>
        <v>0</v>
      </c>
      <c r="T61" s="697">
        <f>'F2 Weiterführung ER'!T61+'F5b DELTA ER'!T61</f>
        <v>0</v>
      </c>
      <c r="U61" s="698">
        <f>'F2 Weiterführung ER'!U61+'F5b DELTA ER'!U61</f>
        <v>0</v>
      </c>
      <c r="W61" s="652">
        <f>'F2 Weiterführung ER'!W61</f>
        <v>0</v>
      </c>
      <c r="X61" s="653">
        <f>'F2 Weiterführung ER'!X61</f>
        <v>0</v>
      </c>
      <c r="Y61" s="696">
        <f>'F2 Weiterführung ER'!Y61+'F5b DELTA ER'!Y61</f>
        <v>0</v>
      </c>
      <c r="Z61" s="697">
        <f>'F2 Weiterführung ER'!Z61+'F5b DELTA ER'!Z61</f>
        <v>0</v>
      </c>
      <c r="AA61" s="697">
        <f>'F2 Weiterführung ER'!AA61+'F5b DELTA ER'!AA61</f>
        <v>0</v>
      </c>
      <c r="AB61" s="697">
        <f>'F2 Weiterführung ER'!AB61+'F5b DELTA ER'!AB61</f>
        <v>0</v>
      </c>
      <c r="AC61" s="698">
        <f>'F2 Weiterführung ER'!AC61+'F5b DELTA ER'!AC61</f>
        <v>0</v>
      </c>
      <c r="AE61" s="652">
        <f>'F2 Weiterführung ER'!AE61</f>
        <v>0</v>
      </c>
      <c r="AF61" s="653">
        <f>'F2 Weiterführung ER'!AF61</f>
        <v>0</v>
      </c>
      <c r="AG61" s="696">
        <f>'F2 Weiterführung ER'!AG61+'F5b DELTA ER'!AG61</f>
        <v>0</v>
      </c>
      <c r="AH61" s="697">
        <f>'F2 Weiterführung ER'!AH61+'F5b DELTA ER'!AH61</f>
        <v>0</v>
      </c>
      <c r="AI61" s="697">
        <f>'F2 Weiterführung ER'!AI61+'F5b DELTA ER'!AI61</f>
        <v>0</v>
      </c>
      <c r="AJ61" s="697">
        <f>'F2 Weiterführung ER'!AJ61+'F5b DELTA ER'!AJ61</f>
        <v>0</v>
      </c>
      <c r="AK61" s="698">
        <f>'F2 Weiterführung ER'!AK61+'F5b DELTA ER'!AK61</f>
        <v>0</v>
      </c>
      <c r="AM61" s="652">
        <f>'F2 Weiterführung ER'!AM61</f>
        <v>0</v>
      </c>
      <c r="AN61" s="653">
        <f>'F2 Weiterführung ER'!AN61</f>
        <v>0</v>
      </c>
      <c r="AO61" s="696">
        <f>'F2 Weiterführung ER'!AO61+'F5b DELTA ER'!AO61</f>
        <v>0</v>
      </c>
      <c r="AP61" s="697">
        <f>'F2 Weiterführung ER'!AP61+'F5b DELTA ER'!AP61</f>
        <v>0</v>
      </c>
      <c r="AQ61" s="697">
        <f>'F2 Weiterführung ER'!AQ61+'F5b DELTA ER'!AQ61</f>
        <v>0</v>
      </c>
      <c r="AR61" s="697">
        <f>'F2 Weiterführung ER'!AR61+'F5b DELTA ER'!AR61</f>
        <v>0</v>
      </c>
      <c r="AS61" s="698">
        <f>'F2 Weiterführung ER'!AS61+'F5b DELTA ER'!AS61</f>
        <v>0</v>
      </c>
      <c r="AU61" s="652">
        <f>'F2 Weiterführung ER'!AU61</f>
        <v>0</v>
      </c>
      <c r="AV61" s="653">
        <f>'F2 Weiterführung ER'!AV61</f>
        <v>0</v>
      </c>
      <c r="AW61" s="696">
        <f>'F2 Weiterführung ER'!AW61+'F5b DELTA ER'!AW61</f>
        <v>0</v>
      </c>
      <c r="AX61" s="697">
        <f>'F2 Weiterführung ER'!AX61+'F5b DELTA ER'!AX61</f>
        <v>0</v>
      </c>
      <c r="AY61" s="697">
        <f>'F2 Weiterführung ER'!AY61+'F5b DELTA ER'!AY61</f>
        <v>0</v>
      </c>
      <c r="AZ61" s="697">
        <f>'F2 Weiterführung ER'!AZ61+'F5b DELTA ER'!AZ61</f>
        <v>0</v>
      </c>
      <c r="BA61" s="698">
        <f>'F2 Weiterführung ER'!BA61+'F5b DELTA ER'!BA61</f>
        <v>0</v>
      </c>
      <c r="BC61" s="652">
        <f>'F2 Weiterführung ER'!BC61</f>
        <v>497</v>
      </c>
      <c r="BD61" s="653">
        <f>'F2 Weiterführung ER'!BD61</f>
        <v>549</v>
      </c>
      <c r="BE61" s="696">
        <f>'F2 Weiterführung ER'!BE61+'F5b DELTA ER'!BE61</f>
        <v>576.57249999999999</v>
      </c>
      <c r="BF61" s="697">
        <f>'F2 Weiterführung ER'!BF61+'F5b DELTA ER'!BF61</f>
        <v>620.1875</v>
      </c>
      <c r="BG61" s="697">
        <f>'F2 Weiterführung ER'!BG61+'F5b DELTA ER'!BG61</f>
        <v>660.89673106060604</v>
      </c>
      <c r="BH61" s="697">
        <f>'F2 Weiterführung ER'!BH61+'F5b DELTA ER'!BH61</f>
        <v>678.97187121212119</v>
      </c>
      <c r="BI61" s="698">
        <f>'F2 Weiterführung ER'!BI61+'F5b DELTA ER'!BI61</f>
        <v>676.05208712121214</v>
      </c>
    </row>
    <row r="62" spans="2:62" ht="6" customHeight="1">
      <c r="B62" s="425"/>
      <c r="C62" s="690"/>
      <c r="D62" s="690"/>
      <c r="E62" s="426"/>
      <c r="F62" s="426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W62" s="379"/>
      <c r="X62" s="379"/>
      <c r="Y62" s="379"/>
      <c r="Z62" s="379"/>
      <c r="AA62" s="379"/>
      <c r="AB62" s="379"/>
      <c r="AC62" s="379"/>
      <c r="AE62" s="379"/>
      <c r="AF62" s="379"/>
      <c r="AG62" s="379"/>
      <c r="AH62" s="379"/>
      <c r="AI62" s="379"/>
      <c r="AJ62" s="379"/>
      <c r="AK62" s="379"/>
      <c r="AM62" s="379"/>
      <c r="AN62" s="379"/>
      <c r="AO62" s="379"/>
      <c r="AP62" s="379"/>
      <c r="AQ62" s="379"/>
      <c r="AR62" s="379"/>
      <c r="AS62" s="379"/>
      <c r="AU62" s="379"/>
      <c r="AV62" s="379"/>
      <c r="AW62" s="379"/>
      <c r="AX62" s="379"/>
      <c r="AY62" s="379"/>
      <c r="AZ62" s="379"/>
      <c r="BA62" s="379"/>
      <c r="BC62" s="379"/>
      <c r="BD62" s="379"/>
      <c r="BE62" s="379"/>
      <c r="BF62" s="379"/>
      <c r="BG62" s="379"/>
      <c r="BH62" s="379"/>
      <c r="BI62" s="379"/>
    </row>
    <row r="63" spans="2:62" ht="6" customHeight="1">
      <c r="B63" s="706"/>
      <c r="C63" s="397"/>
      <c r="D63" s="397"/>
      <c r="E63" s="398"/>
      <c r="F63" s="398"/>
      <c r="G63" s="376"/>
      <c r="H63" s="376"/>
      <c r="I63" s="376"/>
      <c r="J63" s="376"/>
      <c r="K63" s="376"/>
      <c r="L63" s="376"/>
      <c r="M63" s="376"/>
      <c r="N63" s="379"/>
      <c r="O63" s="376"/>
      <c r="P63" s="376"/>
      <c r="Q63" s="376"/>
      <c r="R63" s="376"/>
      <c r="S63" s="376"/>
      <c r="T63" s="376"/>
      <c r="U63" s="376"/>
      <c r="W63" s="376"/>
      <c r="X63" s="376"/>
      <c r="Y63" s="376"/>
      <c r="Z63" s="376"/>
      <c r="AA63" s="376"/>
      <c r="AB63" s="376"/>
      <c r="AC63" s="376"/>
      <c r="AE63" s="376"/>
      <c r="AF63" s="376"/>
      <c r="AG63" s="376"/>
      <c r="AH63" s="376"/>
      <c r="AI63" s="376"/>
      <c r="AJ63" s="376"/>
      <c r="AK63" s="376"/>
      <c r="AM63" s="376"/>
      <c r="AN63" s="376"/>
      <c r="AO63" s="376"/>
      <c r="AP63" s="376"/>
      <c r="AQ63" s="376"/>
      <c r="AR63" s="376"/>
      <c r="AS63" s="376"/>
      <c r="AU63" s="376"/>
      <c r="AV63" s="376"/>
      <c r="AW63" s="376"/>
      <c r="AX63" s="376"/>
      <c r="AY63" s="376"/>
      <c r="AZ63" s="376"/>
      <c r="BA63" s="376"/>
      <c r="BC63" s="376"/>
      <c r="BD63" s="376"/>
      <c r="BE63" s="376"/>
      <c r="BF63" s="376"/>
      <c r="BG63" s="376"/>
      <c r="BH63" s="376"/>
      <c r="BI63" s="376"/>
    </row>
    <row r="64" spans="2:62">
      <c r="B64" s="357"/>
      <c r="C64" s="85"/>
      <c r="D64" s="107" t="s">
        <v>99</v>
      </c>
      <c r="E64" s="85"/>
      <c r="F64" s="85"/>
      <c r="G64" s="384">
        <f t="shared" ref="G64:H64" si="76">G36</f>
        <v>23975</v>
      </c>
      <c r="H64" s="701">
        <f t="shared" si="76"/>
        <v>24755</v>
      </c>
      <c r="I64" s="433">
        <f>I36</f>
        <v>24953.952499999996</v>
      </c>
      <c r="J64" s="386">
        <f t="shared" ref="J64:M64" si="77">J36</f>
        <v>25113.675049499998</v>
      </c>
      <c r="K64" s="386">
        <f t="shared" si="77"/>
        <v>25341.306706035502</v>
      </c>
      <c r="L64" s="386">
        <f t="shared" si="77"/>
        <v>25544.32127248924</v>
      </c>
      <c r="M64" s="384">
        <f t="shared" si="77"/>
        <v>25805.393520439247</v>
      </c>
      <c r="N64" s="602" t="str">
        <f>IF(SUM(G64:M64)=SUM(O64:YQ64),"",SUM(O64:YQ64)-SUM(G64:M64))</f>
        <v/>
      </c>
      <c r="O64" s="386">
        <f t="shared" ref="O64:U64" si="78">O36</f>
        <v>710</v>
      </c>
      <c r="P64" s="415">
        <f t="shared" si="78"/>
        <v>743</v>
      </c>
      <c r="Q64" s="433">
        <f t="shared" si="78"/>
        <v>746.79</v>
      </c>
      <c r="R64" s="386">
        <f t="shared" si="78"/>
        <v>747.49549999999988</v>
      </c>
      <c r="S64" s="386">
        <f t="shared" si="78"/>
        <v>751.31199749999985</v>
      </c>
      <c r="T64" s="386">
        <f t="shared" si="78"/>
        <v>752.0286404374998</v>
      </c>
      <c r="U64" s="384">
        <f t="shared" si="78"/>
        <v>755.87190444168721</v>
      </c>
      <c r="W64" s="386">
        <f t="shared" ref="W64:AC64" si="79">W36</f>
        <v>4659</v>
      </c>
      <c r="X64" s="415">
        <f t="shared" si="79"/>
        <v>5035</v>
      </c>
      <c r="Y64" s="433">
        <f t="shared" si="79"/>
        <v>5060.57</v>
      </c>
      <c r="Z64" s="386">
        <f t="shared" si="79"/>
        <v>5076.9318749999993</v>
      </c>
      <c r="AA64" s="386">
        <f t="shared" si="79"/>
        <v>5102.7225893749983</v>
      </c>
      <c r="AB64" s="386">
        <f t="shared" si="79"/>
        <v>5119.2596854968733</v>
      </c>
      <c r="AC64" s="384">
        <f t="shared" si="79"/>
        <v>5145.2733161298574</v>
      </c>
      <c r="AE64" s="386">
        <f t="shared" ref="AE64:AK64" si="80">AE36</f>
        <v>2</v>
      </c>
      <c r="AF64" s="415">
        <f t="shared" si="80"/>
        <v>4</v>
      </c>
      <c r="AG64" s="433">
        <f t="shared" si="80"/>
        <v>4.04</v>
      </c>
      <c r="AH64" s="386">
        <f t="shared" si="80"/>
        <v>4.0804</v>
      </c>
      <c r="AI64" s="386">
        <f t="shared" si="80"/>
        <v>4.1212039999999996</v>
      </c>
      <c r="AJ64" s="386">
        <f t="shared" si="80"/>
        <v>4.1624160400000001</v>
      </c>
      <c r="AK64" s="384">
        <f t="shared" si="80"/>
        <v>4.2040402003999997</v>
      </c>
      <c r="AM64" s="386">
        <f t="shared" ref="AM64:AS64" si="81">AM36</f>
        <v>6142</v>
      </c>
      <c r="AN64" s="415">
        <f t="shared" si="81"/>
        <v>6295</v>
      </c>
      <c r="AO64" s="433">
        <f t="shared" si="81"/>
        <v>6401.3</v>
      </c>
      <c r="AP64" s="386">
        <f t="shared" si="81"/>
        <v>6458.0413250000011</v>
      </c>
      <c r="AQ64" s="386">
        <f t="shared" si="81"/>
        <v>6515.4196846250006</v>
      </c>
      <c r="AR64" s="386">
        <f t="shared" si="81"/>
        <v>6573.2494152031259</v>
      </c>
      <c r="AS64" s="384">
        <f t="shared" si="81"/>
        <v>6631.7272826544404</v>
      </c>
      <c r="AU64" s="386">
        <f t="shared" ref="AU64:BA64" si="82">AU36</f>
        <v>1675</v>
      </c>
      <c r="AV64" s="415">
        <f t="shared" si="82"/>
        <v>1691</v>
      </c>
      <c r="AW64" s="433">
        <f t="shared" si="82"/>
        <v>1637.68</v>
      </c>
      <c r="AX64" s="386">
        <f t="shared" si="82"/>
        <v>1630.1661750000003</v>
      </c>
      <c r="AY64" s="386">
        <f t="shared" si="82"/>
        <v>1623.0912993750001</v>
      </c>
      <c r="AZ64" s="386">
        <f t="shared" si="82"/>
        <v>1615.8234344318751</v>
      </c>
      <c r="BA64" s="384">
        <f t="shared" si="82"/>
        <v>1608.9985364033844</v>
      </c>
      <c r="BC64" s="386">
        <f t="shared" ref="BC64:BI64" si="83">BC36</f>
        <v>10787</v>
      </c>
      <c r="BD64" s="415">
        <f t="shared" si="83"/>
        <v>10987</v>
      </c>
      <c r="BE64" s="433">
        <f t="shared" si="83"/>
        <v>11103.5725</v>
      </c>
      <c r="BF64" s="386">
        <f t="shared" si="83"/>
        <v>11196.959774499999</v>
      </c>
      <c r="BG64" s="386">
        <f t="shared" si="83"/>
        <v>11344.639931160506</v>
      </c>
      <c r="BH64" s="386">
        <f t="shared" si="83"/>
        <v>11479.797680879867</v>
      </c>
      <c r="BI64" s="384">
        <f t="shared" si="83"/>
        <v>11659.318440609475</v>
      </c>
    </row>
    <row r="65" spans="2:62">
      <c r="B65" s="357"/>
      <c r="C65" s="85"/>
      <c r="D65" s="107" t="s">
        <v>100</v>
      </c>
      <c r="E65" s="85"/>
      <c r="F65" s="85"/>
      <c r="G65" s="384">
        <f>G13</f>
        <v>23944</v>
      </c>
      <c r="H65" s="701">
        <f t="shared" ref="H65:M65" si="84">H13</f>
        <v>24742</v>
      </c>
      <c r="I65" s="433">
        <f>I13</f>
        <v>24728.589999999997</v>
      </c>
      <c r="J65" s="386">
        <f t="shared" si="84"/>
        <v>24918.928096780299</v>
      </c>
      <c r="K65" s="386">
        <f t="shared" si="84"/>
        <v>25160.348714607608</v>
      </c>
      <c r="L65" s="386">
        <f t="shared" si="84"/>
        <v>25365.112281527054</v>
      </c>
      <c r="M65" s="384">
        <f t="shared" si="84"/>
        <v>25418.619729793823</v>
      </c>
      <c r="N65" s="602" t="str">
        <f>IF(SUM(G65:M65)=SUM(O65:YQ65),"",SUM(O65:YQ65)-SUM(G65:M65))</f>
        <v/>
      </c>
      <c r="O65" s="386">
        <f t="shared" ref="O65:U65" si="85">O13</f>
        <v>1486</v>
      </c>
      <c r="P65" s="415">
        <f t="shared" si="85"/>
        <v>1528</v>
      </c>
      <c r="Q65" s="433">
        <f t="shared" si="85"/>
        <v>1527.4699999999998</v>
      </c>
      <c r="R65" s="386">
        <f t="shared" si="85"/>
        <v>1506.0166249999997</v>
      </c>
      <c r="S65" s="386">
        <f t="shared" si="85"/>
        <v>1514.8737081249997</v>
      </c>
      <c r="T65" s="386">
        <f t="shared" si="85"/>
        <v>1523.3189080406246</v>
      </c>
      <c r="U65" s="384">
        <f t="shared" si="85"/>
        <v>1540.9185775808276</v>
      </c>
      <c r="W65" s="386">
        <f t="shared" ref="W65:AC65" si="86">W13</f>
        <v>8220</v>
      </c>
      <c r="X65" s="415">
        <f t="shared" si="86"/>
        <v>8759</v>
      </c>
      <c r="Y65" s="433">
        <f t="shared" si="86"/>
        <v>8773.8449999999993</v>
      </c>
      <c r="Z65" s="386">
        <f t="shared" si="86"/>
        <v>8824.8887999999988</v>
      </c>
      <c r="AA65" s="386">
        <f t="shared" si="86"/>
        <v>8893.4934189999985</v>
      </c>
      <c r="AB65" s="386">
        <f t="shared" si="86"/>
        <v>8935.2019044699973</v>
      </c>
      <c r="AC65" s="384">
        <f t="shared" si="86"/>
        <v>8904.7892764923472</v>
      </c>
      <c r="AE65" s="386">
        <f t="shared" ref="AE65:AK65" si="87">AE13</f>
        <v>498</v>
      </c>
      <c r="AF65" s="415">
        <f t="shared" si="87"/>
        <v>583</v>
      </c>
      <c r="AG65" s="433">
        <f t="shared" si="87"/>
        <v>585.06499999999994</v>
      </c>
      <c r="AH65" s="386">
        <f t="shared" si="87"/>
        <v>596.50844999999993</v>
      </c>
      <c r="AI65" s="386">
        <f t="shared" si="87"/>
        <v>609.30524224999988</v>
      </c>
      <c r="AJ65" s="386">
        <f t="shared" si="87"/>
        <v>608.74564408624985</v>
      </c>
      <c r="AK65" s="384">
        <f t="shared" si="87"/>
        <v>610.18434730668105</v>
      </c>
      <c r="AM65" s="386">
        <f t="shared" ref="AM65:AS65" si="88">AM13</f>
        <v>10224</v>
      </c>
      <c r="AN65" s="415">
        <f t="shared" si="88"/>
        <v>10317</v>
      </c>
      <c r="AO65" s="433">
        <f t="shared" si="88"/>
        <v>10239.1975</v>
      </c>
      <c r="AP65" s="386">
        <f t="shared" si="88"/>
        <v>10218.694069696967</v>
      </c>
      <c r="AQ65" s="386">
        <f t="shared" si="88"/>
        <v>10267.652844969693</v>
      </c>
      <c r="AR65" s="386">
        <f t="shared" si="88"/>
        <v>10344.947614281662</v>
      </c>
      <c r="AS65" s="384">
        <f t="shared" si="88"/>
        <v>10422.795240421252</v>
      </c>
      <c r="AU65" s="386">
        <f t="shared" ref="AU65:BA65" si="89">AU13</f>
        <v>3229</v>
      </c>
      <c r="AV65" s="415">
        <f t="shared" si="89"/>
        <v>3286</v>
      </c>
      <c r="AW65" s="433">
        <f t="shared" si="89"/>
        <v>3332.66</v>
      </c>
      <c r="AX65" s="386">
        <f t="shared" si="89"/>
        <v>3496.7232583333325</v>
      </c>
      <c r="AY65" s="386">
        <f t="shared" si="89"/>
        <v>3586.9244912916661</v>
      </c>
      <c r="AZ65" s="386">
        <f t="shared" si="89"/>
        <v>3657.0977159147906</v>
      </c>
      <c r="BA65" s="384">
        <f t="shared" si="89"/>
        <v>3695.9021619943646</v>
      </c>
      <c r="BC65" s="386">
        <f t="shared" ref="BC65:BI65" si="90">BC13</f>
        <v>287</v>
      </c>
      <c r="BD65" s="415">
        <f t="shared" si="90"/>
        <v>269</v>
      </c>
      <c r="BE65" s="433">
        <f t="shared" si="90"/>
        <v>270.35249999999996</v>
      </c>
      <c r="BF65" s="386">
        <f t="shared" si="90"/>
        <v>276.09689374999999</v>
      </c>
      <c r="BG65" s="386">
        <f t="shared" si="90"/>
        <v>288.09900897124993</v>
      </c>
      <c r="BH65" s="386">
        <f t="shared" si="90"/>
        <v>295.80049473373168</v>
      </c>
      <c r="BI65" s="384">
        <f t="shared" si="90"/>
        <v>244.03012599835216</v>
      </c>
    </row>
    <row r="66" spans="2:62" ht="6" customHeight="1">
      <c r="B66" s="357"/>
      <c r="C66" s="85"/>
      <c r="D66" s="85"/>
      <c r="E66" s="85"/>
      <c r="F66" s="85"/>
      <c r="G66" s="389"/>
      <c r="H66" s="389"/>
      <c r="I66" s="389"/>
      <c r="J66" s="389"/>
      <c r="K66" s="389"/>
      <c r="L66" s="389"/>
      <c r="M66" s="389"/>
      <c r="N66" s="379"/>
      <c r="O66" s="389"/>
      <c r="P66" s="389"/>
      <c r="Q66" s="389"/>
      <c r="R66" s="389"/>
      <c r="S66" s="389"/>
      <c r="T66" s="389"/>
      <c r="U66" s="389"/>
      <c r="W66" s="389"/>
      <c r="X66" s="389"/>
      <c r="Y66" s="389"/>
      <c r="Z66" s="389"/>
      <c r="AA66" s="389"/>
      <c r="AB66" s="389"/>
      <c r="AC66" s="389"/>
      <c r="AE66" s="389"/>
      <c r="AF66" s="389"/>
      <c r="AG66" s="389"/>
      <c r="AH66" s="389"/>
      <c r="AI66" s="389"/>
      <c r="AJ66" s="389"/>
      <c r="AK66" s="389"/>
      <c r="AM66" s="389"/>
      <c r="AN66" s="389"/>
      <c r="AO66" s="389"/>
      <c r="AP66" s="389"/>
      <c r="AQ66" s="389"/>
      <c r="AR66" s="389"/>
      <c r="AS66" s="389"/>
      <c r="AU66" s="389"/>
      <c r="AV66" s="389"/>
      <c r="AW66" s="389"/>
      <c r="AX66" s="389"/>
      <c r="AY66" s="389"/>
      <c r="AZ66" s="389"/>
      <c r="BA66" s="389"/>
      <c r="BC66" s="389"/>
      <c r="BD66" s="389"/>
      <c r="BE66" s="389"/>
      <c r="BF66" s="389"/>
      <c r="BG66" s="389"/>
      <c r="BH66" s="389"/>
      <c r="BI66" s="389"/>
    </row>
    <row r="67" spans="2:62">
      <c r="B67" s="357"/>
      <c r="C67" s="85"/>
      <c r="D67" s="85" t="s">
        <v>101</v>
      </c>
      <c r="E67" s="85"/>
      <c r="F67" s="85"/>
      <c r="G67" s="707">
        <f>IF(G64&gt;=G65,G64-G65,0)</f>
        <v>31</v>
      </c>
      <c r="H67" s="708">
        <f>IF(H64&gt;=H65,H64-H65,0)</f>
        <v>13</v>
      </c>
      <c r="I67" s="709">
        <f>IF(I64&gt;=I65,I64-I65,0)</f>
        <v>225.36249999999927</v>
      </c>
      <c r="J67" s="710">
        <f t="shared" ref="J67:M67" si="91">IF(J64&gt;=J65,J64-J65,0)</f>
        <v>194.74695271969904</v>
      </c>
      <c r="K67" s="710">
        <f t="shared" si="91"/>
        <v>180.95799142789474</v>
      </c>
      <c r="L67" s="710">
        <f t="shared" si="91"/>
        <v>179.20899096218636</v>
      </c>
      <c r="M67" s="707">
        <f t="shared" si="91"/>
        <v>386.77379064542401</v>
      </c>
      <c r="N67" s="389"/>
      <c r="O67" s="389">
        <f>IF(O64&gt;=O65,O64-O65,0)</f>
        <v>0</v>
      </c>
      <c r="P67" s="389">
        <f>IF(P64&gt;=P65,P64-P65,0)</f>
        <v>0</v>
      </c>
      <c r="Q67" s="389">
        <f t="shared" ref="Q67:U67" si="92">IF(Q64&gt;=Q65,Q64-Q65,0)</f>
        <v>0</v>
      </c>
      <c r="R67" s="389">
        <f t="shared" si="92"/>
        <v>0</v>
      </c>
      <c r="S67" s="389">
        <f t="shared" si="92"/>
        <v>0</v>
      </c>
      <c r="T67" s="389">
        <f t="shared" si="92"/>
        <v>0</v>
      </c>
      <c r="U67" s="389">
        <f t="shared" si="92"/>
        <v>0</v>
      </c>
      <c r="W67" s="389">
        <f>IF(W64&gt;=W65,W64-W65,0)</f>
        <v>0</v>
      </c>
      <c r="X67" s="389">
        <f>IF(X64&gt;=X65,X64-X65,0)</f>
        <v>0</v>
      </c>
      <c r="Y67" s="389">
        <f t="shared" ref="Y67:AC67" si="93">IF(Y64&gt;=Y65,Y64-Y65,0)</f>
        <v>0</v>
      </c>
      <c r="Z67" s="389">
        <f t="shared" si="93"/>
        <v>0</v>
      </c>
      <c r="AA67" s="389">
        <f t="shared" si="93"/>
        <v>0</v>
      </c>
      <c r="AB67" s="389">
        <f t="shared" si="93"/>
        <v>0</v>
      </c>
      <c r="AC67" s="389">
        <f t="shared" si="93"/>
        <v>0</v>
      </c>
      <c r="AE67" s="389">
        <f>IF(AE64&gt;=AE65,AE64-AE65,0)</f>
        <v>0</v>
      </c>
      <c r="AF67" s="389">
        <f>IF(AF64&gt;=AF65,AF64-AF65,0)</f>
        <v>0</v>
      </c>
      <c r="AG67" s="389">
        <f t="shared" ref="AG67:AK67" si="94">IF(AG64&gt;=AG65,AG64-AG65,0)</f>
        <v>0</v>
      </c>
      <c r="AH67" s="389">
        <f t="shared" si="94"/>
        <v>0</v>
      </c>
      <c r="AI67" s="389">
        <f t="shared" si="94"/>
        <v>0</v>
      </c>
      <c r="AJ67" s="389">
        <f t="shared" si="94"/>
        <v>0</v>
      </c>
      <c r="AK67" s="389">
        <f t="shared" si="94"/>
        <v>0</v>
      </c>
      <c r="AM67" s="389">
        <f>IF(AM64&gt;=AM65,AM64-AM65,0)</f>
        <v>0</v>
      </c>
      <c r="AN67" s="389">
        <f>IF(AN64&gt;=AN65,AN64-AN65,0)</f>
        <v>0</v>
      </c>
      <c r="AO67" s="389">
        <f t="shared" ref="AO67:AS67" si="95">IF(AO64&gt;=AO65,AO64-AO65,0)</f>
        <v>0</v>
      </c>
      <c r="AP67" s="389">
        <f t="shared" si="95"/>
        <v>0</v>
      </c>
      <c r="AQ67" s="389">
        <f t="shared" si="95"/>
        <v>0</v>
      </c>
      <c r="AR67" s="389">
        <f t="shared" si="95"/>
        <v>0</v>
      </c>
      <c r="AS67" s="389">
        <f t="shared" si="95"/>
        <v>0</v>
      </c>
      <c r="AU67" s="389">
        <f>IF(AU64&gt;=AU65,AU64-AU65,0)</f>
        <v>0</v>
      </c>
      <c r="AV67" s="389">
        <f>IF(AV64&gt;=AV65,AV64-AV65,0)</f>
        <v>0</v>
      </c>
      <c r="AW67" s="389">
        <f t="shared" ref="AW67:BA67" si="96">IF(AW64&gt;=AW65,AW64-AW65,0)</f>
        <v>0</v>
      </c>
      <c r="AX67" s="389">
        <f t="shared" si="96"/>
        <v>0</v>
      </c>
      <c r="AY67" s="389">
        <f t="shared" si="96"/>
        <v>0</v>
      </c>
      <c r="AZ67" s="389">
        <f t="shared" si="96"/>
        <v>0</v>
      </c>
      <c r="BA67" s="389">
        <f t="shared" si="96"/>
        <v>0</v>
      </c>
      <c r="BC67" s="389">
        <f>IF(BC64&gt;=BC65,BC64-BC65,0)</f>
        <v>10500</v>
      </c>
      <c r="BD67" s="389">
        <f>IF(BD64&gt;=BD65,BD64-BD65,0)</f>
        <v>10718</v>
      </c>
      <c r="BE67" s="389">
        <f t="shared" ref="BE67:BI67" si="97">IF(BE64&gt;=BE65,BE64-BE65,0)</f>
        <v>10833.220000000001</v>
      </c>
      <c r="BF67" s="389">
        <f t="shared" si="97"/>
        <v>10920.862880749999</v>
      </c>
      <c r="BG67" s="389">
        <f t="shared" si="97"/>
        <v>11056.540922189255</v>
      </c>
      <c r="BH67" s="389">
        <f t="shared" si="97"/>
        <v>11183.997186146134</v>
      </c>
      <c r="BI67" s="389">
        <f t="shared" si="97"/>
        <v>11415.288314611123</v>
      </c>
    </row>
    <row r="68" spans="2:62">
      <c r="B68" s="357"/>
      <c r="C68" s="85"/>
      <c r="D68" s="85" t="s">
        <v>102</v>
      </c>
      <c r="E68" s="85"/>
      <c r="F68" s="85"/>
      <c r="G68" s="707">
        <f t="shared" ref="G68:M68" si="98">IF(G64&lt;=G65,G65-G64,0)</f>
        <v>0</v>
      </c>
      <c r="H68" s="708">
        <f t="shared" si="98"/>
        <v>0</v>
      </c>
      <c r="I68" s="709">
        <f t="shared" si="98"/>
        <v>0</v>
      </c>
      <c r="J68" s="710">
        <f t="shared" si="98"/>
        <v>0</v>
      </c>
      <c r="K68" s="710">
        <f t="shared" si="98"/>
        <v>0</v>
      </c>
      <c r="L68" s="710">
        <f t="shared" si="98"/>
        <v>0</v>
      </c>
      <c r="M68" s="707">
        <f t="shared" si="98"/>
        <v>0</v>
      </c>
      <c r="N68" s="85"/>
      <c r="O68" s="389">
        <f t="shared" ref="O68:U68" si="99">IF(O64&lt;=O65,O65-O64,0)</f>
        <v>776</v>
      </c>
      <c r="P68" s="389">
        <f t="shared" si="99"/>
        <v>785</v>
      </c>
      <c r="Q68" s="389">
        <f t="shared" si="99"/>
        <v>780.67999999999984</v>
      </c>
      <c r="R68" s="389">
        <f t="shared" si="99"/>
        <v>758.52112499999987</v>
      </c>
      <c r="S68" s="389">
        <f t="shared" si="99"/>
        <v>763.56171062499982</v>
      </c>
      <c r="T68" s="389">
        <f t="shared" si="99"/>
        <v>771.29026760312479</v>
      </c>
      <c r="U68" s="389">
        <f t="shared" si="99"/>
        <v>785.04667313914035</v>
      </c>
      <c r="W68" s="389">
        <f t="shared" ref="W68:AC68" si="100">IF(W64&lt;=W65,W65-W64,0)</f>
        <v>3561</v>
      </c>
      <c r="X68" s="389">
        <f t="shared" si="100"/>
        <v>3724</v>
      </c>
      <c r="Y68" s="389">
        <f t="shared" si="100"/>
        <v>3713.2749999999996</v>
      </c>
      <c r="Z68" s="389">
        <f t="shared" si="100"/>
        <v>3747.9569249999995</v>
      </c>
      <c r="AA68" s="389">
        <f t="shared" si="100"/>
        <v>3790.7708296250003</v>
      </c>
      <c r="AB68" s="389">
        <f t="shared" si="100"/>
        <v>3815.942218973124</v>
      </c>
      <c r="AC68" s="389">
        <f t="shared" si="100"/>
        <v>3759.5159603624897</v>
      </c>
      <c r="AE68" s="389">
        <f t="shared" ref="AE68:AK68" si="101">IF(AE64&lt;=AE65,AE65-AE64,0)</f>
        <v>496</v>
      </c>
      <c r="AF68" s="389">
        <f t="shared" si="101"/>
        <v>579</v>
      </c>
      <c r="AG68" s="389">
        <f t="shared" si="101"/>
        <v>581.02499999999998</v>
      </c>
      <c r="AH68" s="389">
        <f t="shared" si="101"/>
        <v>592.42804999999987</v>
      </c>
      <c r="AI68" s="389">
        <f t="shared" si="101"/>
        <v>605.18403824999984</v>
      </c>
      <c r="AJ68" s="389">
        <f t="shared" si="101"/>
        <v>604.58322804624981</v>
      </c>
      <c r="AK68" s="389">
        <f t="shared" si="101"/>
        <v>605.98030710628109</v>
      </c>
      <c r="AM68" s="389">
        <f t="shared" ref="AM68:AS68" si="102">IF(AM64&lt;=AM65,AM65-AM64,0)</f>
        <v>4082</v>
      </c>
      <c r="AN68" s="389">
        <f t="shared" si="102"/>
        <v>4022</v>
      </c>
      <c r="AO68" s="389">
        <f t="shared" si="102"/>
        <v>3837.8975</v>
      </c>
      <c r="AP68" s="389">
        <f t="shared" si="102"/>
        <v>3760.6527446969658</v>
      </c>
      <c r="AQ68" s="389">
        <f t="shared" si="102"/>
        <v>3752.2331603446919</v>
      </c>
      <c r="AR68" s="389">
        <f t="shared" si="102"/>
        <v>3771.6981990785362</v>
      </c>
      <c r="AS68" s="389">
        <f t="shared" si="102"/>
        <v>3791.0679577668116</v>
      </c>
      <c r="AU68" s="389">
        <f t="shared" ref="AU68:BA68" si="103">IF(AU64&lt;=AU65,AU65-AU64,0)</f>
        <v>1554</v>
      </c>
      <c r="AV68" s="389">
        <f t="shared" si="103"/>
        <v>1595</v>
      </c>
      <c r="AW68" s="389">
        <f t="shared" si="103"/>
        <v>1694.9799999999998</v>
      </c>
      <c r="AX68" s="389">
        <f t="shared" si="103"/>
        <v>1866.5570833333322</v>
      </c>
      <c r="AY68" s="389">
        <f t="shared" si="103"/>
        <v>1963.833191916666</v>
      </c>
      <c r="AZ68" s="389">
        <f t="shared" si="103"/>
        <v>2041.2742814829155</v>
      </c>
      <c r="BA68" s="389">
        <f t="shared" si="103"/>
        <v>2086.9036255909805</v>
      </c>
      <c r="BC68" s="389">
        <f t="shared" ref="BC68:BI68" si="104">IF(BC64&lt;=BC65,BC65-BC64,0)</f>
        <v>0</v>
      </c>
      <c r="BD68" s="389">
        <f t="shared" si="104"/>
        <v>0</v>
      </c>
      <c r="BE68" s="389">
        <f t="shared" si="104"/>
        <v>0</v>
      </c>
      <c r="BF68" s="389">
        <f t="shared" si="104"/>
        <v>0</v>
      </c>
      <c r="BG68" s="389">
        <f t="shared" si="104"/>
        <v>0</v>
      </c>
      <c r="BH68" s="389">
        <f t="shared" si="104"/>
        <v>0</v>
      </c>
      <c r="BI68" s="389">
        <f t="shared" si="104"/>
        <v>0</v>
      </c>
    </row>
    <row r="69" spans="2:62" ht="6" customHeight="1">
      <c r="B69" s="357"/>
      <c r="C69" s="85"/>
      <c r="D69" s="85"/>
      <c r="E69" s="85"/>
      <c r="F69" s="85"/>
      <c r="G69" s="389"/>
      <c r="H69" s="389"/>
      <c r="I69" s="389"/>
      <c r="J69" s="389"/>
      <c r="K69" s="389"/>
      <c r="L69" s="389"/>
      <c r="M69" s="389"/>
      <c r="N69" s="389"/>
      <c r="O69" s="389"/>
      <c r="P69" s="389"/>
      <c r="Q69" s="389"/>
      <c r="R69" s="389"/>
      <c r="S69" s="389"/>
      <c r="T69" s="389"/>
      <c r="U69" s="389"/>
      <c r="W69" s="389"/>
      <c r="X69" s="389"/>
      <c r="Y69" s="389"/>
      <c r="Z69" s="389"/>
      <c r="AA69" s="389"/>
      <c r="AB69" s="389"/>
      <c r="AC69" s="389"/>
      <c r="AE69" s="389"/>
      <c r="AF69" s="389"/>
      <c r="AG69" s="389"/>
      <c r="AH69" s="389"/>
      <c r="AI69" s="389"/>
      <c r="AJ69" s="389"/>
      <c r="AK69" s="389"/>
      <c r="AM69" s="389"/>
      <c r="AN69" s="389"/>
      <c r="AO69" s="389"/>
      <c r="AP69" s="389"/>
      <c r="AQ69" s="389"/>
      <c r="AR69" s="389"/>
      <c r="AS69" s="389"/>
      <c r="AU69" s="389"/>
      <c r="AV69" s="389"/>
      <c r="AW69" s="389"/>
      <c r="AX69" s="389"/>
      <c r="AY69" s="389"/>
      <c r="AZ69" s="389"/>
      <c r="BA69" s="389"/>
      <c r="BC69" s="389"/>
      <c r="BD69" s="389"/>
      <c r="BE69" s="389"/>
      <c r="BF69" s="389"/>
      <c r="BG69" s="389"/>
      <c r="BH69" s="389"/>
      <c r="BI69" s="389"/>
    </row>
    <row r="70" spans="2:62">
      <c r="B70" s="5"/>
      <c r="C70" s="85"/>
      <c r="D70" s="107" t="s">
        <v>187</v>
      </c>
      <c r="E70" s="85"/>
      <c r="F70" s="85"/>
      <c r="G70" s="86"/>
      <c r="H70" s="86"/>
      <c r="N70" s="82"/>
    </row>
    <row r="71" spans="2:62">
      <c r="B71" s="5"/>
      <c r="C71" s="85">
        <v>299</v>
      </c>
      <c r="D71" s="85" t="s">
        <v>188</v>
      </c>
      <c r="E71" s="704"/>
      <c r="F71" s="85"/>
      <c r="G71" s="705">
        <f>G67-G68</f>
        <v>31</v>
      </c>
      <c r="H71" s="705">
        <f t="shared" ref="H71:M71" si="105">H67-H68</f>
        <v>13</v>
      </c>
      <c r="I71" s="705">
        <f t="shared" si="105"/>
        <v>225.36249999999927</v>
      </c>
      <c r="J71" s="705">
        <f t="shared" si="105"/>
        <v>194.74695271969904</v>
      </c>
      <c r="K71" s="705">
        <f t="shared" si="105"/>
        <v>180.95799142789474</v>
      </c>
      <c r="L71" s="705">
        <f t="shared" si="105"/>
        <v>179.20899096218636</v>
      </c>
      <c r="M71" s="705">
        <f t="shared" si="105"/>
        <v>386.77379064542401</v>
      </c>
      <c r="N71" s="82"/>
    </row>
    <row r="72" spans="2:62" ht="6" customHeight="1">
      <c r="B72" s="5"/>
      <c r="C72" s="85"/>
      <c r="D72" s="643"/>
      <c r="E72" s="643"/>
      <c r="F72" s="643"/>
      <c r="G72" s="389"/>
      <c r="H72" s="389"/>
      <c r="I72" s="389"/>
      <c r="J72" s="389"/>
      <c r="K72" s="389"/>
      <c r="L72" s="389"/>
      <c r="M72" s="389"/>
      <c r="N72" s="82"/>
    </row>
    <row r="73" spans="2:62">
      <c r="B73" s="5"/>
      <c r="C73" s="85"/>
      <c r="D73" s="85" t="s">
        <v>239</v>
      </c>
      <c r="E73" s="643"/>
      <c r="F73" s="643"/>
      <c r="G73" s="705">
        <f>G71</f>
        <v>31</v>
      </c>
      <c r="H73" s="705">
        <f>H71+G73</f>
        <v>44</v>
      </c>
      <c r="I73" s="705">
        <f t="shared" ref="I73:L73" si="106">I71+H73</f>
        <v>269.36249999999927</v>
      </c>
      <c r="J73" s="705">
        <f t="shared" si="106"/>
        <v>464.10945271969831</v>
      </c>
      <c r="K73" s="705">
        <f t="shared" si="106"/>
        <v>645.06744414759305</v>
      </c>
      <c r="L73" s="705">
        <f t="shared" si="106"/>
        <v>824.27643510977941</v>
      </c>
      <c r="M73" s="705">
        <f>M71+L73</f>
        <v>1211.0502257552034</v>
      </c>
      <c r="N73" s="82"/>
    </row>
    <row r="74" spans="2:62" ht="6" customHeight="1">
      <c r="B74" s="61"/>
      <c r="C74" s="390"/>
      <c r="D74" s="390"/>
      <c r="E74" s="390"/>
      <c r="F74" s="390"/>
      <c r="G74" s="390"/>
      <c r="H74" s="390"/>
      <c r="I74" s="390"/>
      <c r="J74" s="390"/>
      <c r="K74" s="390"/>
      <c r="L74" s="390"/>
      <c r="M74" s="390"/>
      <c r="N74" s="928"/>
      <c r="O74" s="390"/>
      <c r="P74" s="390"/>
      <c r="Q74" s="390"/>
      <c r="R74" s="390"/>
      <c r="S74" s="390"/>
      <c r="T74" s="390"/>
      <c r="U74" s="390"/>
      <c r="V74" s="390"/>
      <c r="W74" s="390"/>
      <c r="X74" s="390"/>
      <c r="Y74" s="390"/>
      <c r="Z74" s="390"/>
      <c r="AA74" s="390"/>
      <c r="AB74" s="390"/>
      <c r="AC74" s="390"/>
      <c r="AD74" s="390"/>
      <c r="AE74" s="390"/>
      <c r="AF74" s="390"/>
      <c r="AG74" s="390"/>
      <c r="AH74" s="390"/>
      <c r="AI74" s="390"/>
      <c r="AJ74" s="390"/>
      <c r="AK74" s="390"/>
      <c r="AL74" s="390"/>
      <c r="AM74" s="390"/>
      <c r="AN74" s="390"/>
      <c r="AO74" s="390"/>
      <c r="AP74" s="390"/>
      <c r="AQ74" s="390"/>
      <c r="AR74" s="390"/>
      <c r="AS74" s="390"/>
      <c r="AT74" s="390"/>
      <c r="AU74" s="390"/>
      <c r="AV74" s="390"/>
      <c r="AW74" s="390"/>
      <c r="AX74" s="390"/>
      <c r="AY74" s="390"/>
      <c r="AZ74" s="390"/>
      <c r="BA74" s="390"/>
      <c r="BB74" s="390"/>
      <c r="BC74" s="390"/>
      <c r="BD74" s="390"/>
      <c r="BE74" s="390"/>
      <c r="BF74" s="390"/>
      <c r="BG74" s="390"/>
      <c r="BH74" s="390"/>
      <c r="BI74" s="390"/>
      <c r="BJ74" s="390"/>
    </row>
    <row r="75" spans="2:62" ht="6" customHeight="1">
      <c r="N75" s="82"/>
    </row>
    <row r="76" spans="2:62" ht="12" customHeight="1">
      <c r="B76" s="86" t="s">
        <v>310</v>
      </c>
      <c r="G76" s="1201">
        <f>'F1a Ausgangsbilanz'!$F47+G73</f>
        <v>12981</v>
      </c>
      <c r="H76" s="1201">
        <f>'F1a Ausgangsbilanz'!$F47+H73</f>
        <v>12994</v>
      </c>
      <c r="I76" s="1201">
        <f>'F1a Ausgangsbilanz'!$F47+I73</f>
        <v>13219.362499999999</v>
      </c>
      <c r="J76" s="1201">
        <f>'F1a Ausgangsbilanz'!$F47+J73</f>
        <v>13414.109452719698</v>
      </c>
      <c r="K76" s="1201">
        <f>'F1a Ausgangsbilanz'!$F47+K73</f>
        <v>13595.067444147593</v>
      </c>
      <c r="L76" s="1201">
        <f>'F1a Ausgangsbilanz'!$F47+L73</f>
        <v>13774.276435109779</v>
      </c>
      <c r="M76" s="1201">
        <f>'F1a Ausgangsbilanz'!$F47+M73</f>
        <v>14161.050225755203</v>
      </c>
      <c r="N76" s="82"/>
    </row>
    <row r="77" spans="2:62">
      <c r="B77" s="86" t="s">
        <v>312</v>
      </c>
      <c r="I77" s="396"/>
      <c r="J77" s="396"/>
      <c r="K77" s="396"/>
      <c r="L77" s="396"/>
      <c r="M77" s="396"/>
      <c r="N77" s="82"/>
    </row>
    <row r="78" spans="2:62">
      <c r="B78" s="86" t="s">
        <v>311</v>
      </c>
      <c r="D78" s="1092">
        <v>6</v>
      </c>
      <c r="E78" s="86" t="s">
        <v>198</v>
      </c>
      <c r="F78" s="434"/>
      <c r="G78" s="435" t="str">
        <f>IF('F1a Ausgangsbilanz'!F47&lt;0,-'F1a Ausgangsbilanz'!F47/$D$78,"")</f>
        <v/>
      </c>
      <c r="H78" s="435" t="str">
        <f>IF(G76&lt;0,-G76/$D$78,"")</f>
        <v/>
      </c>
      <c r="I78" s="435" t="str">
        <f t="shared" ref="I78:L78" si="107">IF(H76&lt;0,-H76/$D$78,"")</f>
        <v/>
      </c>
      <c r="J78" s="435" t="str">
        <f t="shared" si="107"/>
        <v/>
      </c>
      <c r="K78" s="435" t="str">
        <f t="shared" si="107"/>
        <v/>
      </c>
      <c r="L78" s="435" t="str">
        <f t="shared" si="107"/>
        <v/>
      </c>
      <c r="M78" s="435" t="str">
        <f>IF(L76&lt;0,-L76/$D$78,"")</f>
        <v/>
      </c>
      <c r="N78" s="82"/>
    </row>
    <row r="79" spans="2:62">
      <c r="I79" s="396"/>
      <c r="J79" s="396"/>
      <c r="K79" s="396"/>
      <c r="L79" s="396"/>
      <c r="M79" s="396"/>
      <c r="N79" s="82"/>
    </row>
    <row r="80" spans="2:62">
      <c r="N80" s="85"/>
    </row>
    <row r="81" spans="14:14">
      <c r="N81" s="85"/>
    </row>
    <row r="82" spans="14:14">
      <c r="N82" s="85"/>
    </row>
    <row r="83" spans="14:14">
      <c r="N83" s="85"/>
    </row>
    <row r="84" spans="14:14">
      <c r="N84" s="85"/>
    </row>
    <row r="85" spans="14:14">
      <c r="N85" s="85"/>
    </row>
    <row r="86" spans="14:14">
      <c r="N86" s="85"/>
    </row>
    <row r="87" spans="14:14">
      <c r="N87" s="85"/>
    </row>
    <row r="88" spans="14:14">
      <c r="N88" s="85"/>
    </row>
    <row r="89" spans="14:14">
      <c r="N89" s="85"/>
    </row>
    <row r="90" spans="14:14">
      <c r="N90" s="85"/>
    </row>
    <row r="91" spans="14:14">
      <c r="N91" s="85"/>
    </row>
    <row r="92" spans="14:14">
      <c r="N92" s="85"/>
    </row>
    <row r="93" spans="14:14">
      <c r="N93" s="85"/>
    </row>
    <row r="94" spans="14:14">
      <c r="N94" s="85"/>
    </row>
    <row r="95" spans="14:14">
      <c r="N95" s="85"/>
    </row>
    <row r="96" spans="14:14">
      <c r="N96" s="85"/>
    </row>
    <row r="97" spans="14:14">
      <c r="N97" s="85"/>
    </row>
  </sheetData>
  <mergeCells count="32">
    <mergeCell ref="D30:F30"/>
    <mergeCell ref="B1:H1"/>
    <mergeCell ref="B3:H3"/>
    <mergeCell ref="B5:F5"/>
    <mergeCell ref="D13:F13"/>
    <mergeCell ref="D15:F15"/>
    <mergeCell ref="D16:F16"/>
    <mergeCell ref="D17:F17"/>
    <mergeCell ref="D18:F18"/>
    <mergeCell ref="D22:F22"/>
    <mergeCell ref="D27:F27"/>
    <mergeCell ref="E28:F28"/>
    <mergeCell ref="E29:F29"/>
    <mergeCell ref="D45:F45"/>
    <mergeCell ref="D31:F31"/>
    <mergeCell ref="D32:F32"/>
    <mergeCell ref="E33:F33"/>
    <mergeCell ref="D36:F36"/>
    <mergeCell ref="D38:F38"/>
    <mergeCell ref="D39:F39"/>
    <mergeCell ref="D40:F40"/>
    <mergeCell ref="D41:F41"/>
    <mergeCell ref="D42:F42"/>
    <mergeCell ref="D43:F43"/>
    <mergeCell ref="D44:F44"/>
    <mergeCell ref="E61:F61"/>
    <mergeCell ref="D46:F46"/>
    <mergeCell ref="D50:F50"/>
    <mergeCell ref="D55:F55"/>
    <mergeCell ref="E56:F56"/>
    <mergeCell ref="D57:F57"/>
    <mergeCell ref="D58:F58"/>
  </mergeCells>
  <phoneticPr fontId="2" type="noConversion"/>
  <conditionalFormatting sqref="G71:M71">
    <cfRule type="cellIs" dxfId="18" priority="7" operator="lessThan">
      <formula>0</formula>
    </cfRule>
    <cfRule type="cellIs" dxfId="17" priority="8" operator="greaterThanOrEqual">
      <formula>0</formula>
    </cfRule>
  </conditionalFormatting>
  <conditionalFormatting sqref="G73:M73">
    <cfRule type="cellIs" dxfId="16" priority="1" operator="lessThan">
      <formula>0</formula>
    </cfRule>
    <cfRule type="cellIs" dxfId="15" priority="2" operator="greaterThanOrEqual">
      <formula>0</formula>
    </cfRule>
  </conditionalFormatting>
  <pageMargins left="0.59055118110236204" right="0.59055118110236204" top="0.59055118110236204" bottom="0.59055118110236204" header="0.43307086614173201" footer="0.43307086614173201"/>
  <pageSetup paperSize="9" scale="95" orientation="portrait" r:id="rId1"/>
  <headerFooter>
    <oddFooter>&amp;L&amp;8&amp;K000000© Legrafin                 &amp;D / &amp;T&amp;C&amp;8&amp;K000000Seite  &amp;P&amp;R&amp;8&amp;K000000&amp;F</oddFooter>
  </headerFooter>
  <colBreaks count="2" manualBreakCount="2">
    <brk id="14" max="1048575" man="1"/>
    <brk id="38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109"/>
  <sheetViews>
    <sheetView zoomScale="120" zoomScaleNormal="120" zoomScalePageLayoutView="168" workbookViewId="0">
      <pane xSplit="7" ySplit="6" topLeftCell="H22" activePane="bottomRight" state="frozenSplit"/>
      <selection pane="topRight" activeCell="H1" sqref="H1"/>
      <selection pane="bottomLeft" activeCell="A7" sqref="A7"/>
      <selection pane="bottomRight" activeCell="K40" sqref="K40"/>
    </sheetView>
  </sheetViews>
  <sheetFormatPr baseColWidth="10" defaultColWidth="11.42578125" defaultRowHeight="11.25"/>
  <cols>
    <col min="1" max="1" width="0.85546875" style="94" customWidth="1"/>
    <col min="2" max="2" width="0.42578125" style="94" customWidth="1"/>
    <col min="3" max="3" width="1.7109375" style="94" customWidth="1"/>
    <col min="4" max="4" width="10.42578125" style="94" customWidth="1"/>
    <col min="5" max="5" width="10.140625" style="94" customWidth="1"/>
    <col min="6" max="6" width="4.42578125" style="94" customWidth="1"/>
    <col min="7" max="7" width="7.140625" style="94" customWidth="1"/>
    <col min="8" max="16" width="6.140625" style="475" customWidth="1"/>
    <col min="17" max="17" width="6.42578125" style="475" customWidth="1"/>
    <col min="18" max="18" width="6.7109375" style="94" customWidth="1"/>
    <col min="19" max="16384" width="11.42578125" style="94"/>
  </cols>
  <sheetData>
    <row r="1" spans="1:21" s="82" customFormat="1" ht="12">
      <c r="A1" s="87"/>
      <c r="B1" s="80"/>
      <c r="C1" s="304" t="str">
        <f>"Aufgaben- und Finanzplan "&amp;TEXT(Budget2,0)&amp;" - "&amp;TEXT(Finz1+4,0)</f>
        <v>Aufgaben- und Finanzplan 2022 - 2027</v>
      </c>
      <c r="F1" s="80"/>
      <c r="N1" s="79"/>
      <c r="O1" s="79" t="str">
        <f>"Gemeinde "&amp;TEXT(Gemeinde,0)</f>
        <v>Gemeinde Menznau</v>
      </c>
    </row>
    <row r="2" spans="1:21">
      <c r="H2" s="94"/>
      <c r="I2" s="94"/>
      <c r="J2" s="94"/>
      <c r="K2" s="94"/>
      <c r="L2" s="94"/>
      <c r="M2" s="94"/>
      <c r="N2" s="94"/>
      <c r="O2" s="94"/>
      <c r="P2" s="94"/>
    </row>
    <row r="3" spans="1:21" s="82" customFormat="1">
      <c r="B3" s="185" t="s">
        <v>250</v>
      </c>
      <c r="N3" s="83"/>
      <c r="O3" s="83" t="s">
        <v>2</v>
      </c>
    </row>
    <row r="4" spans="1:21">
      <c r="A4" s="82"/>
      <c r="H4" s="94"/>
      <c r="I4" s="1084"/>
      <c r="J4" s="1084"/>
      <c r="K4" s="1084"/>
      <c r="L4" s="1084"/>
      <c r="M4" s="1084"/>
      <c r="N4" s="1084"/>
      <c r="O4" s="1084"/>
      <c r="P4" s="94"/>
      <c r="Q4" s="1084"/>
      <c r="R4" s="1084"/>
      <c r="S4" s="1084"/>
      <c r="T4" s="1084"/>
      <c r="U4" s="1084"/>
    </row>
    <row r="5" spans="1:21" s="95" customFormat="1" ht="15.75" customHeight="1">
      <c r="B5" s="476"/>
      <c r="C5" s="477"/>
      <c r="D5" s="478"/>
      <c r="E5" s="478"/>
      <c r="F5" s="478"/>
      <c r="G5" s="478"/>
      <c r="H5" s="479" t="s">
        <v>39</v>
      </c>
      <c r="I5" s="480" t="str">
        <f>IF('F0b Planungsparameter'!$G$10="Ja","Budget","Rechng")</f>
        <v>Budget</v>
      </c>
      <c r="J5" s="481" t="s">
        <v>32</v>
      </c>
      <c r="K5" s="482" t="s">
        <v>26</v>
      </c>
      <c r="L5" s="482"/>
      <c r="M5" s="482"/>
      <c r="N5" s="482"/>
      <c r="O5" s="130"/>
    </row>
    <row r="6" spans="1:21" s="87" customFormat="1" ht="15.75" customHeight="1">
      <c r="B6" s="483"/>
      <c r="C6" s="1494" t="s">
        <v>21</v>
      </c>
      <c r="D6" s="1424"/>
      <c r="E6" s="1424"/>
      <c r="F6" s="1424"/>
      <c r="G6" s="1484"/>
      <c r="H6" s="109">
        <f>I6-1</f>
        <v>2020</v>
      </c>
      <c r="I6" s="484">
        <f>Budget1</f>
        <v>2021</v>
      </c>
      <c r="J6" s="485">
        <f>Budget2</f>
        <v>2022</v>
      </c>
      <c r="K6" s="486">
        <f>Finz1</f>
        <v>2023</v>
      </c>
      <c r="L6" s="413">
        <f>K6+1</f>
        <v>2024</v>
      </c>
      <c r="M6" s="413">
        <f>L6+1</f>
        <v>2025</v>
      </c>
      <c r="N6" s="413">
        <f t="shared" ref="N6:O6" si="0">M6+1</f>
        <v>2026</v>
      </c>
      <c r="O6" s="414">
        <f t="shared" si="0"/>
        <v>2027</v>
      </c>
      <c r="P6" s="95"/>
    </row>
    <row r="7" spans="1:21" s="95" customFormat="1" ht="15" customHeight="1">
      <c r="B7" s="487"/>
      <c r="C7" s="1475" t="s">
        <v>36</v>
      </c>
      <c r="D7" s="1475"/>
      <c r="E7" s="1475"/>
      <c r="F7" s="1475"/>
      <c r="G7" s="1476"/>
      <c r="H7" s="154">
        <v>0</v>
      </c>
      <c r="I7" s="349">
        <v>0</v>
      </c>
      <c r="J7" s="488">
        <f>SUM('F5a Zinsänderungen'!G50:G54)-SUM('F5a Zinsänderungen'!G43:G47)</f>
        <v>0</v>
      </c>
      <c r="K7" s="489">
        <f>SUM('F5a Zinsänderungen'!H50:H54)-SUM('F5a Zinsänderungen'!H43:H47)</f>
        <v>0</v>
      </c>
      <c r="L7" s="490">
        <f>SUM('F5a Zinsänderungen'!I50:I54)-SUM('F5a Zinsänderungen'!I43:I47)</f>
        <v>0</v>
      </c>
      <c r="M7" s="490">
        <f>SUM('F5a Zinsänderungen'!J50:J54)-SUM('F5a Zinsänderungen'!J43:J47)</f>
        <v>0</v>
      </c>
      <c r="N7" s="490">
        <f>SUM('F5a Zinsänderungen'!K50:K54)-SUM('F5a Zinsänderungen'!K43:K47)</f>
        <v>0</v>
      </c>
      <c r="O7" s="491">
        <f>SUM('F5a Zinsänderungen'!L50:L54)-SUM('F5a Zinsänderungen'!L43:L47)</f>
        <v>0</v>
      </c>
      <c r="P7" s="280"/>
      <c r="Q7" s="492"/>
    </row>
    <row r="8" spans="1:21" s="95" customFormat="1" ht="15" customHeight="1">
      <c r="B8" s="493"/>
      <c r="C8" s="1477" t="s">
        <v>62</v>
      </c>
      <c r="D8" s="1477"/>
      <c r="E8" s="1477"/>
      <c r="F8" s="1477"/>
      <c r="G8" s="1478"/>
      <c r="H8" s="152">
        <v>2078</v>
      </c>
      <c r="I8" s="585">
        <f>'F1a Ausgangsbilanz'!F54-'F1a Ausgangsbilanz'!F63</f>
        <v>2070</v>
      </c>
      <c r="J8" s="494">
        <f>'F4 Investitionsplanung VV'!I14</f>
        <v>2815</v>
      </c>
      <c r="K8" s="495">
        <f>'F4 Investitionsplanung VV'!J14</f>
        <v>3445</v>
      </c>
      <c r="L8" s="496">
        <f>'F4 Investitionsplanung VV'!K14</f>
        <v>3445</v>
      </c>
      <c r="M8" s="496">
        <f>'F4 Investitionsplanung VV'!L14</f>
        <v>2850</v>
      </c>
      <c r="N8" s="496">
        <f>'F4 Investitionsplanung VV'!M14</f>
        <v>1880</v>
      </c>
      <c r="O8" s="497">
        <f>'F4 Investitionsplanung VV'!N14</f>
        <v>1260</v>
      </c>
      <c r="P8" s="280"/>
      <c r="Q8" s="492"/>
    </row>
    <row r="9" spans="1:21" s="95" customFormat="1" ht="15" customHeight="1">
      <c r="B9" s="498"/>
      <c r="C9" s="1479" t="s">
        <v>242</v>
      </c>
      <c r="D9" s="1477"/>
      <c r="E9" s="1477"/>
      <c r="F9" s="1477"/>
      <c r="G9" s="1478"/>
      <c r="H9" s="152">
        <v>3296</v>
      </c>
      <c r="I9" s="1268">
        <f>'F1b Budget Aktuell'!G65+'F1b Budget Aktuell'!G14+'F1b Budget Aktuell'!G18+'F1b Budget Aktuell'!G19+'F1b Budget Aktuell'!G26-'F1b Budget Aktuell'!G46-'F1b Budget Aktuell'!G47-'F1b Budget Aktuell'!G56</f>
        <v>819</v>
      </c>
      <c r="J9" s="499">
        <f>'F5a Zinsänderungen'!G8</f>
        <v>1070</v>
      </c>
      <c r="K9" s="500">
        <f>'F5a Zinsänderungen'!H8</f>
        <v>1171.3624999999993</v>
      </c>
      <c r="L9" s="501">
        <f>'F5a Zinsänderungen'!I8</f>
        <v>1243.627255750002</v>
      </c>
      <c r="M9" s="501">
        <f>'F5a Zinsänderungen'!J8</f>
        <v>1321.8837490036524</v>
      </c>
      <c r="N9" s="501">
        <f>'F5a Zinsänderungen'!K8</f>
        <v>1434.1802030833985</v>
      </c>
      <c r="O9" s="501">
        <f>'F5a Zinsänderungen'!L8</f>
        <v>1652.2707603423937</v>
      </c>
      <c r="P9" s="280"/>
      <c r="Q9" s="492"/>
    </row>
    <row r="10" spans="1:21" s="95" customFormat="1" ht="15" customHeight="1">
      <c r="B10" s="493"/>
      <c r="C10" s="1480" t="s">
        <v>308</v>
      </c>
      <c r="D10" s="1481"/>
      <c r="E10" s="1481"/>
      <c r="F10" s="1481"/>
      <c r="G10" s="1482"/>
      <c r="H10" s="1269">
        <f>IF(H9=0,"",H8-H9)</f>
        <v>-1218</v>
      </c>
      <c r="I10" s="1270">
        <f>I8-I9</f>
        <v>1251</v>
      </c>
      <c r="J10" s="488">
        <f>J8-J9-'F5 Prognose ER'!H51+'F5 Prognose ER'!H23</f>
        <v>1740</v>
      </c>
      <c r="K10" s="489">
        <f>K8-K9-'F5 Prognose ER'!I51+'F5 Prognose ER'!I23</f>
        <v>2273.6375000000007</v>
      </c>
      <c r="L10" s="490">
        <f>L8-L9-'F5 Prognose ER'!J51+'F5 Prognose ER'!J23</f>
        <v>2201.372744249998</v>
      </c>
      <c r="M10" s="490">
        <f>M8-M9-'F5 Prognose ER'!K51+'F5 Prognose ER'!K23</f>
        <v>1528.1162509963476</v>
      </c>
      <c r="N10" s="490">
        <f>N8-N9-'F5 Prognose ER'!L51+'F5 Prognose ER'!L23</f>
        <v>445.81979691660149</v>
      </c>
      <c r="O10" s="491">
        <f>O8-O9-'F5 Prognose ER'!M51+'F5 Prognose ER'!M23</f>
        <v>-392.27076034239371</v>
      </c>
      <c r="P10" s="280"/>
      <c r="Q10" s="492"/>
    </row>
    <row r="11" spans="1:21" s="95" customFormat="1" ht="15" customHeight="1">
      <c r="B11" s="493"/>
      <c r="C11" s="1479" t="s">
        <v>307</v>
      </c>
      <c r="D11" s="1477"/>
      <c r="E11" s="1477"/>
      <c r="F11" s="1477"/>
      <c r="G11" s="1478"/>
      <c r="H11" s="585">
        <f>IF(H10="","",H10)</f>
        <v>-1218</v>
      </c>
      <c r="I11" s="1336">
        <f>IF(H11="",I10,H11+I10)</f>
        <v>33</v>
      </c>
      <c r="J11" s="1337">
        <f>I11+J10</f>
        <v>1773</v>
      </c>
      <c r="K11" s="1338">
        <f>J11+K10</f>
        <v>4046.6375000000007</v>
      </c>
      <c r="L11" s="1339">
        <f t="shared" ref="L11:N11" si="1">K11+L10</f>
        <v>6248.0102442499992</v>
      </c>
      <c r="M11" s="1339">
        <f t="shared" si="1"/>
        <v>7776.1264952463471</v>
      </c>
      <c r="N11" s="1339">
        <f t="shared" si="1"/>
        <v>8221.9462921629492</v>
      </c>
      <c r="O11" s="1340">
        <f>N11+O10</f>
        <v>7829.675531820556</v>
      </c>
      <c r="P11" s="280"/>
      <c r="Q11" s="492"/>
    </row>
    <row r="12" spans="1:21" s="95" customFormat="1" ht="15" customHeight="1">
      <c r="B12" s="504"/>
      <c r="C12" s="1485" t="s">
        <v>306</v>
      </c>
      <c r="D12" s="1483"/>
      <c r="E12" s="1483"/>
      <c r="F12" s="1483"/>
      <c r="G12" s="1487"/>
      <c r="H12" s="519">
        <f>IF('F0b Planungsparameter'!G10="Ja",'F1a Ausgangsbilanz'!F32-'F1a Ausgangsbilanz'!F38-'F1a Ausgangsbilanz'!F10,"??")</f>
        <v>-546</v>
      </c>
      <c r="I12" s="1285">
        <f>IF('F0b Planungsparameter'!G10="Ja",I10+H12,'F1a Ausgangsbilanz'!F32-'F1a Ausgangsbilanz'!F38-'F1a Ausgangsbilanz'!F10)</f>
        <v>705</v>
      </c>
      <c r="J12" s="505">
        <f>I12+J10</f>
        <v>2445</v>
      </c>
      <c r="K12" s="97">
        <f>J12+K10</f>
        <v>4718.6375000000007</v>
      </c>
      <c r="L12" s="98">
        <f>K12+L10</f>
        <v>6920.0102442499992</v>
      </c>
      <c r="M12" s="98">
        <f>L12+M10</f>
        <v>8448.1264952463462</v>
      </c>
      <c r="N12" s="98">
        <f t="shared" ref="N12:O12" si="2">M12+N10</f>
        <v>8893.9462921629474</v>
      </c>
      <c r="O12" s="506">
        <f t="shared" si="2"/>
        <v>8501.6755318205542</v>
      </c>
      <c r="P12" s="280"/>
      <c r="Q12" s="492"/>
    </row>
    <row r="13" spans="1:21" s="95" customFormat="1" ht="15" customHeight="1">
      <c r="B13" s="1313"/>
      <c r="C13" s="1314" t="s">
        <v>374</v>
      </c>
      <c r="D13" s="1315"/>
      <c r="E13" s="1315"/>
      <c r="F13" s="1315"/>
      <c r="G13" s="1316"/>
      <c r="H13" s="1317"/>
      <c r="I13" s="1318">
        <v>370</v>
      </c>
      <c r="J13" s="1319">
        <f>SUMIF('F4 Investitionsplanung VV'!$D19:$D113,"S",'F4 Investitionsplanung VV'!I19:I113)</f>
        <v>135</v>
      </c>
      <c r="K13" s="1320">
        <f>SUMIF('F4 Investitionsplanung VV'!$D19:$D113,"S",'F4 Investitionsplanung VV'!J19:J113)</f>
        <v>90</v>
      </c>
      <c r="L13" s="1321">
        <f>SUMIF('F4 Investitionsplanung VV'!$D19:$D113,"S",'F4 Investitionsplanung VV'!K19:K113)</f>
        <v>230</v>
      </c>
      <c r="M13" s="1321">
        <f>SUMIF('F4 Investitionsplanung VV'!$D19:$D113,"S",'F4 Investitionsplanung VV'!L19:L113)</f>
        <v>990</v>
      </c>
      <c r="N13" s="1321">
        <f>SUMIF('F4 Investitionsplanung VV'!$D19:$D113,"S",'F4 Investitionsplanung VV'!M19:M113)</f>
        <v>1010</v>
      </c>
      <c r="O13" s="1322">
        <f>SUMIF('F4 Investitionsplanung VV'!$D19:$D113,"S",'F4 Investitionsplanung VV'!N19:N113)</f>
        <v>560</v>
      </c>
      <c r="P13" s="280"/>
      <c r="Q13" s="492"/>
    </row>
    <row r="14" spans="1:21" s="95" customFormat="1" ht="15" customHeight="1">
      <c r="B14" s="493"/>
      <c r="C14" s="456" t="s">
        <v>373</v>
      </c>
      <c r="D14" s="1323"/>
      <c r="E14" s="1323"/>
      <c r="F14" s="1323"/>
      <c r="G14" s="1324"/>
      <c r="H14" s="1325"/>
      <c r="I14" s="1355">
        <v>300</v>
      </c>
      <c r="J14" s="1355">
        <v>190</v>
      </c>
      <c r="K14" s="1326">
        <f>$J$14+SUMIF('F4 Investitionsplanung VV'!$D19:$D113,"S",'F4 Investitionsplanung VV'!R19:R113)</f>
        <v>190</v>
      </c>
      <c r="L14" s="1327">
        <f>$J$14+SUMIF('F4 Investitionsplanung VV'!$D19:$D113,"S",'F4 Investitionsplanung VV'!S19:S113)</f>
        <v>218.14696969696968</v>
      </c>
      <c r="M14" s="1327">
        <f>$J$14+SUMIF('F4 Investitionsplanung VV'!$D19:$D113,"S",'F4 Investitionsplanung VV'!T19:T113)</f>
        <v>222.69242424242424</v>
      </c>
      <c r="N14" s="1327">
        <f>$J$14+SUMIF('F4 Investitionsplanung VV'!$D19:$D113,"S",'F4 Investitionsplanung VV'!U19:U113)</f>
        <v>253.57121212121211</v>
      </c>
      <c r="O14" s="1328">
        <f>$J$14+SUMIF('F4 Investitionsplanung VV'!$D19:$D113,"S",'F4 Investitionsplanung VV'!V19:V113)</f>
        <v>282.01363636363635</v>
      </c>
      <c r="P14" s="280"/>
      <c r="Q14" s="492"/>
    </row>
    <row r="15" spans="1:21" s="95" customFormat="1" ht="15" customHeight="1">
      <c r="B15" s="493"/>
      <c r="C15" s="456" t="s">
        <v>371</v>
      </c>
      <c r="D15" s="1323"/>
      <c r="E15" s="1323"/>
      <c r="F15" s="1323"/>
      <c r="G15" s="1324"/>
      <c r="H15" s="1356">
        <v>5032</v>
      </c>
      <c r="I15" s="585">
        <f>H15+I13-I14</f>
        <v>5102</v>
      </c>
      <c r="J15" s="1329">
        <f t="shared" ref="J15:O15" si="3">I15+J13-J14</f>
        <v>5047</v>
      </c>
      <c r="K15" s="1326">
        <f t="shared" si="3"/>
        <v>4947</v>
      </c>
      <c r="L15" s="1327">
        <f t="shared" si="3"/>
        <v>4958.8530303030302</v>
      </c>
      <c r="M15" s="1327">
        <f t="shared" si="3"/>
        <v>5726.1606060606064</v>
      </c>
      <c r="N15" s="1327">
        <f t="shared" si="3"/>
        <v>6482.5893939393945</v>
      </c>
      <c r="O15" s="1328">
        <f t="shared" si="3"/>
        <v>6760.575757575758</v>
      </c>
      <c r="P15" s="280"/>
      <c r="Q15" s="492"/>
    </row>
    <row r="16" spans="1:21" s="95" customFormat="1" ht="15" customHeight="1">
      <c r="B16" s="493"/>
      <c r="C16" s="456" t="s">
        <v>375</v>
      </c>
      <c r="D16" s="1323"/>
      <c r="E16" s="1323"/>
      <c r="F16" s="1323"/>
      <c r="G16" s="1324"/>
      <c r="H16" s="1357">
        <f>'F1a Ausgangsbilanz'!F43</f>
        <v>10758</v>
      </c>
      <c r="I16" s="1325">
        <f>'F5c Prognose Bilanz'!F62</f>
        <v>10342</v>
      </c>
      <c r="J16" s="1329">
        <f>'F5c Prognose Bilanz'!G62</f>
        <v>10011</v>
      </c>
      <c r="K16" s="1326">
        <f>'F5c Prognose Bilanz'!H62</f>
        <v>9691</v>
      </c>
      <c r="L16" s="1327">
        <f>'F5c Prognose Bilanz'!I62</f>
        <v>9391</v>
      </c>
      <c r="M16" s="1327">
        <f>'F5c Prognose Bilanz'!J62</f>
        <v>9111</v>
      </c>
      <c r="N16" s="1327">
        <f>'F5c Prognose Bilanz'!K62</f>
        <v>8851</v>
      </c>
      <c r="O16" s="1328">
        <f>'F5c Prognose Bilanz'!L62</f>
        <v>8611</v>
      </c>
      <c r="P16" s="280"/>
      <c r="Q16" s="492"/>
    </row>
    <row r="17" spans="2:19" s="95" customFormat="1" ht="15" customHeight="1">
      <c r="B17" s="504"/>
      <c r="C17" s="1306" t="s">
        <v>372</v>
      </c>
      <c r="D17" s="1307"/>
      <c r="E17" s="1307"/>
      <c r="F17" s="1307"/>
      <c r="G17" s="1308"/>
      <c r="H17" s="1330">
        <f>IF(H15&gt;0,H12-H15+H16,"??")</f>
        <v>5180</v>
      </c>
      <c r="I17" s="1330">
        <f>IF('F0b Planungsparameter'!G10="Ja", IF(AND(H15&gt;0,I13&gt;0,I14&gt;0),I12-I15+I16,"??"),IF(AND(I13&gt;0,I14&gt;0),I12-I15+I16,"??"))</f>
        <v>5945</v>
      </c>
      <c r="J17" s="1331">
        <f>IF(AND(H15&gt;0,I13&gt;0,I14&gt;0,J14&gt;0),J12-J15+J16,"??")</f>
        <v>7409</v>
      </c>
      <c r="K17" s="1332">
        <f t="shared" ref="K17:O17" si="4">IF(J17="??","??",K12-K15+K16)</f>
        <v>9462.6375000000007</v>
      </c>
      <c r="L17" s="1331">
        <f t="shared" si="4"/>
        <v>11352.157213946968</v>
      </c>
      <c r="M17" s="1331">
        <f t="shared" si="4"/>
        <v>11832.96588918574</v>
      </c>
      <c r="N17" s="1331">
        <f t="shared" si="4"/>
        <v>11262.356898223552</v>
      </c>
      <c r="O17" s="1333">
        <f t="shared" si="4"/>
        <v>10352.099774244796</v>
      </c>
      <c r="P17" s="280"/>
      <c r="Q17" s="492"/>
    </row>
    <row r="18" spans="2:19" s="95" customFormat="1" ht="15" customHeight="1">
      <c r="B18" s="504"/>
      <c r="C18" s="1485" t="s">
        <v>15</v>
      </c>
      <c r="D18" s="1424"/>
      <c r="E18" s="1424"/>
      <c r="F18" s="1424"/>
      <c r="G18" s="1484"/>
      <c r="H18" s="507">
        <f>'F0b Planungsparameter'!G14</f>
        <v>2966</v>
      </c>
      <c r="I18" s="148">
        <f>'F0b Planungsparameter'!G36</f>
        <v>2995.66</v>
      </c>
      <c r="J18" s="505">
        <f>'F0b Planungsparameter'!H36</f>
        <v>3025.6165999999998</v>
      </c>
      <c r="K18" s="97">
        <f>'F0b Planungsparameter'!I36</f>
        <v>3055.872766</v>
      </c>
      <c r="L18" s="98">
        <f>'F0b Planungsparameter'!J36</f>
        <v>3086.4314936599999</v>
      </c>
      <c r="M18" s="98">
        <f>'F0b Planungsparameter'!K36</f>
        <v>3117.2958085965997</v>
      </c>
      <c r="N18" s="98">
        <f>'F0b Planungsparameter'!L36</f>
        <v>3148.4687666825657</v>
      </c>
      <c r="O18" s="506">
        <f>'F0b Planungsparameter'!M36</f>
        <v>3179.9534543493914</v>
      </c>
      <c r="P18" s="280"/>
      <c r="Q18" s="492"/>
    </row>
    <row r="19" spans="2:19" s="95" customFormat="1" ht="15" customHeight="1">
      <c r="B19" s="493"/>
      <c r="C19" s="1486" t="s">
        <v>362</v>
      </c>
      <c r="D19" s="1475"/>
      <c r="E19" s="1475"/>
      <c r="F19" s="1475"/>
      <c r="G19" s="1476"/>
      <c r="H19" s="154">
        <v>19</v>
      </c>
      <c r="I19" s="508">
        <f>'F5 Prognose ER'!G18</f>
        <v>20</v>
      </c>
      <c r="J19" s="488">
        <f>'F5 Prognose ER'!H18</f>
        <v>16</v>
      </c>
      <c r="K19" s="489">
        <f>'F5 Prognose ER'!I18</f>
        <v>16.362500000000001</v>
      </c>
      <c r="L19" s="490">
        <f>'F5 Prognose ER'!J18</f>
        <v>22.04659375</v>
      </c>
      <c r="M19" s="490">
        <f>'F5 Prognose ER'!K18</f>
        <v>33.053457471249992</v>
      </c>
      <c r="N19" s="490">
        <f>'F5 Prognose ER'!L18</f>
        <v>40.694038726231732</v>
      </c>
      <c r="O19" s="491">
        <f>'F5 Prognose ER'!M18</f>
        <v>42.923137710814743</v>
      </c>
      <c r="P19" s="280"/>
      <c r="Q19" s="492"/>
    </row>
    <row r="20" spans="2:19" s="95" customFormat="1" ht="15" customHeight="1">
      <c r="B20" s="493"/>
      <c r="C20" s="1265" t="s">
        <v>363</v>
      </c>
      <c r="D20" s="1263"/>
      <c r="E20" s="1263"/>
      <c r="F20" s="1263"/>
      <c r="G20" s="1264"/>
      <c r="H20" s="152">
        <v>18</v>
      </c>
      <c r="I20" s="503">
        <f>'F5 Prognose ER'!G19</f>
        <v>19</v>
      </c>
      <c r="J20" s="494">
        <f>'F5 Prognose ER'!H19</f>
        <v>15</v>
      </c>
      <c r="K20" s="495">
        <f>'F5 Prognose ER'!I19</f>
        <v>16.362500000000001</v>
      </c>
      <c r="L20" s="496">
        <f>'F5 Prognose ER'!J19</f>
        <v>22.04659375</v>
      </c>
      <c r="M20" s="496">
        <f>'F5 Prognose ER'!K19</f>
        <v>33.053457471249992</v>
      </c>
      <c r="N20" s="496">
        <f>'F5 Prognose ER'!L19</f>
        <v>40.694038726231732</v>
      </c>
      <c r="O20" s="497">
        <f>'F5 Prognose ER'!M19</f>
        <v>42.923137710814743</v>
      </c>
      <c r="P20" s="280"/>
      <c r="Q20" s="492"/>
    </row>
    <row r="21" spans="2:19" s="95" customFormat="1" ht="15" customHeight="1">
      <c r="B21" s="493"/>
      <c r="C21" s="1265" t="s">
        <v>365</v>
      </c>
      <c r="E21" s="1263"/>
      <c r="F21" s="1263"/>
      <c r="G21" s="1264"/>
      <c r="H21" s="152">
        <v>55</v>
      </c>
      <c r="I21" s="503">
        <f>'F5 Prognose ER'!G46</f>
        <v>60</v>
      </c>
      <c r="J21" s="494">
        <f>'F5 Prognose ER'!H46-'F5 Prognose ER'!H48-'F5 Prognose ER'!H49</f>
        <v>42</v>
      </c>
      <c r="K21" s="495">
        <f>'F5 Prognose ER'!I46-'F5 Prognose ER'!I48-'F5 Prognose ER'!I49</f>
        <v>42</v>
      </c>
      <c r="L21" s="496">
        <f>'F5 Prognose ER'!J46-'F5 Prognose ER'!J48-'F5 Prognose ER'!J49</f>
        <v>42</v>
      </c>
      <c r="M21" s="496">
        <f>'F5 Prognose ER'!K46-'F5 Prognose ER'!K48-'F5 Prognose ER'!K49</f>
        <v>42</v>
      </c>
      <c r="N21" s="496">
        <f>'F5 Prognose ER'!L46-'F5 Prognose ER'!L48-'F5 Prognose ER'!L49</f>
        <v>42</v>
      </c>
      <c r="O21" s="497">
        <f>'F5 Prognose ER'!M46-'F5 Prognose ER'!M48-'F5 Prognose ER'!M49</f>
        <v>42</v>
      </c>
      <c r="P21" s="280"/>
      <c r="Q21" s="492"/>
    </row>
    <row r="22" spans="2:19" s="95" customFormat="1" ht="15" customHeight="1">
      <c r="B22" s="493"/>
      <c r="C22" s="1488" t="s">
        <v>364</v>
      </c>
      <c r="D22" s="1489"/>
      <c r="E22" s="1489"/>
      <c r="F22" s="1489"/>
      <c r="G22" s="1490"/>
      <c r="H22" s="153">
        <v>12</v>
      </c>
      <c r="I22" s="96">
        <f>'F5 Prognose ER'!G47</f>
        <v>16</v>
      </c>
      <c r="J22" s="499">
        <f>'F5 Prognose ER'!H47</f>
        <v>11</v>
      </c>
      <c r="K22" s="500">
        <f>'F5 Prognose ER'!I47</f>
        <v>11</v>
      </c>
      <c r="L22" s="501">
        <f>'F5 Prognose ER'!J47</f>
        <v>11</v>
      </c>
      <c r="M22" s="501">
        <f>'F5 Prognose ER'!K47</f>
        <v>11</v>
      </c>
      <c r="N22" s="501">
        <f>'F5 Prognose ER'!L47</f>
        <v>11</v>
      </c>
      <c r="O22" s="502">
        <f>'F5 Prognose ER'!M47</f>
        <v>11</v>
      </c>
      <c r="P22" s="280"/>
      <c r="Q22" s="492"/>
    </row>
    <row r="23" spans="2:19" s="95" customFormat="1" ht="15" customHeight="1">
      <c r="B23" s="493"/>
      <c r="C23" s="1491" t="s">
        <v>361</v>
      </c>
      <c r="D23" s="1492"/>
      <c r="E23" s="1492"/>
      <c r="F23" s="1492"/>
      <c r="G23" s="1493"/>
      <c r="H23" s="350">
        <f>IF(OR(H20=0,H22=0),"",H20-H22)</f>
        <v>6</v>
      </c>
      <c r="I23" s="503">
        <f>I20-I22</f>
        <v>3</v>
      </c>
      <c r="J23" s="494">
        <f t="shared" ref="J23:O23" si="5">J20-J22</f>
        <v>4</v>
      </c>
      <c r="K23" s="495">
        <f t="shared" si="5"/>
        <v>5.3625000000000007</v>
      </c>
      <c r="L23" s="496">
        <f>L20-L22</f>
        <v>11.04659375</v>
      </c>
      <c r="M23" s="496">
        <f t="shared" si="5"/>
        <v>22.053457471249992</v>
      </c>
      <c r="N23" s="496">
        <f t="shared" si="5"/>
        <v>29.694038726231732</v>
      </c>
      <c r="O23" s="497">
        <f t="shared" si="5"/>
        <v>31.923137710814743</v>
      </c>
      <c r="P23" s="280"/>
      <c r="Q23" s="492"/>
    </row>
    <row r="24" spans="2:19" s="95" customFormat="1" ht="15" customHeight="1">
      <c r="B24" s="498"/>
      <c r="C24" s="1488" t="s">
        <v>321</v>
      </c>
      <c r="D24" s="1489"/>
      <c r="E24" s="1489"/>
      <c r="F24" s="1489"/>
      <c r="G24" s="1490"/>
      <c r="H24" s="153">
        <v>1137</v>
      </c>
      <c r="I24" s="96">
        <f>'F5 Prognose ER'!G17+'F5 Prognose ER'!G29</f>
        <v>1255</v>
      </c>
      <c r="J24" s="499">
        <f>'F5 Prognose ER'!H17+'F5 Prognose ER'!H29</f>
        <v>1404</v>
      </c>
      <c r="K24" s="500">
        <f>'F5 Prognose ER'!I17+'F5 Prognose ER'!I29</f>
        <v>1266</v>
      </c>
      <c r="L24" s="501">
        <f>'F5 Prognose ER'!J17+'F5 Prognose ER'!J29</f>
        <v>1348.8803030303029</v>
      </c>
      <c r="M24" s="501">
        <f>'F5 Prognose ER'!K17+'F5 Prognose ER'!K29</f>
        <v>1420.9257575757576</v>
      </c>
      <c r="N24" s="501">
        <f>'F5 Prognose ER'!L17+'F5 Prognose ER'!L29</f>
        <v>1514.9712121212121</v>
      </c>
      <c r="O24" s="502">
        <f>'F5 Prognose ER'!M17+'F5 Prognose ER'!M29</f>
        <v>1505.4969696969697</v>
      </c>
      <c r="P24" s="280"/>
      <c r="Q24" s="492"/>
    </row>
    <row r="25" spans="2:19" s="95" customFormat="1" ht="15" customHeight="1">
      <c r="B25" s="493"/>
      <c r="C25" s="1483" t="s">
        <v>61</v>
      </c>
      <c r="D25" s="1424"/>
      <c r="E25" s="1424"/>
      <c r="F25" s="1424"/>
      <c r="G25" s="1484"/>
      <c r="H25" s="1189">
        <f>IF(OR(H24=0,H23=0),"",H24+H23)</f>
        <v>1143</v>
      </c>
      <c r="I25" s="148">
        <f>I24+I23</f>
        <v>1258</v>
      </c>
      <c r="J25" s="237">
        <f t="shared" ref="J25:O25" si="6">J24+J23</f>
        <v>1408</v>
      </c>
      <c r="K25" s="509">
        <f t="shared" si="6"/>
        <v>1271.3625</v>
      </c>
      <c r="L25" s="509">
        <f t="shared" si="6"/>
        <v>1359.926896780303</v>
      </c>
      <c r="M25" s="509">
        <f t="shared" si="6"/>
        <v>1442.9792150470075</v>
      </c>
      <c r="N25" s="510">
        <f t="shared" si="6"/>
        <v>1544.665250847444</v>
      </c>
      <c r="O25" s="510">
        <f t="shared" si="6"/>
        <v>1537.4201074077844</v>
      </c>
      <c r="P25" s="280"/>
      <c r="Q25" s="492"/>
    </row>
    <row r="26" spans="2:19" s="95" customFormat="1" ht="15" customHeight="1">
      <c r="B26" s="487"/>
      <c r="C26" s="1486" t="s">
        <v>243</v>
      </c>
      <c r="D26" s="1475"/>
      <c r="E26" s="1475"/>
      <c r="F26" s="1475"/>
      <c r="G26" s="1476"/>
      <c r="H26" s="154">
        <v>23896</v>
      </c>
      <c r="I26" s="508">
        <f>'F5 Prognose ER'!G36-'F5 Prognose ER'!G57-'F5 Prognose ER'!G60</f>
        <v>21232</v>
      </c>
      <c r="J26" s="488">
        <f>'F5 Prognose ER'!H36-'F5 Prognose ER'!H57-'F5 Prognose ER'!H60</f>
        <v>21729</v>
      </c>
      <c r="K26" s="489">
        <f>'F5 Prognose ER'!I36-'F5 Prognose ER'!I57-'F5 Prognose ER'!I60</f>
        <v>21887.994999999995</v>
      </c>
      <c r="L26" s="490">
        <f>'F5 Prognose ER'!J36-'F5 Prognose ER'!J57-'F5 Prognose ER'!J60</f>
        <v>22004.102549499999</v>
      </c>
      <c r="M26" s="490">
        <f>'F5 Prognose ER'!K36-'F5 Prognose ER'!K57-'F5 Prognose ER'!K60</f>
        <v>22178.578049974898</v>
      </c>
      <c r="N26" s="490">
        <f>'F5 Prognose ER'!L36-'F5 Prognose ER'!L57-'F5 Prognose ER'!L60</f>
        <v>22363.51747627712</v>
      </c>
      <c r="O26" s="491">
        <f>'F5 Prognose ER'!M36-'F5 Prognose ER'!M57-'F5 Prognose ER'!M60</f>
        <v>22615.000348693036</v>
      </c>
      <c r="P26" s="280"/>
      <c r="Q26" s="85"/>
    </row>
    <row r="27" spans="2:19" s="95" customFormat="1" ht="15" customHeight="1">
      <c r="B27" s="493"/>
      <c r="C27" s="1479" t="s">
        <v>245</v>
      </c>
      <c r="D27" s="1407"/>
      <c r="E27" s="1407"/>
      <c r="F27" s="1407"/>
      <c r="G27" s="1408"/>
      <c r="H27" s="152">
        <v>11332</v>
      </c>
      <c r="I27" s="503">
        <f>'F5 Prognose ER'!G38+'F0b Planungsparameter'!G55-'F0b Planungsparameter'!G61</f>
        <v>9288</v>
      </c>
      <c r="J27" s="494">
        <f>'F5 Prognose ER'!H38+'F0b Planungsparameter'!H55-'F0b Planungsparameter'!H61</f>
        <v>9444</v>
      </c>
      <c r="K27" s="495">
        <f>'F5 Prognose ER'!I38+'F0b Planungsparameter'!I55-'F0b Planungsparameter'!I61</f>
        <v>9543.3849999999984</v>
      </c>
      <c r="L27" s="496">
        <f>'F5 Prognose ER'!J38+'F0b Planungsparameter'!J55-'F0b Planungsparameter'!J61</f>
        <v>9580.1020994999999</v>
      </c>
      <c r="M27" s="496">
        <f>'F5 Prognose ER'!K38+'F0b Planungsparameter'!K55-'F0b Planungsparameter'!K61</f>
        <v>9684.3994237249008</v>
      </c>
      <c r="N27" s="496">
        <f>'F5 Prognose ER'!L38+'F0b Planungsparameter'!L55-'F0b Planungsparameter'!L61</f>
        <v>9778.3656011558705</v>
      </c>
      <c r="O27" s="497">
        <f>'F5 Prognose ER'!M38+'F0b Planungsparameter'!M55-'F0b Planungsparameter'!M61</f>
        <v>9958.0727348987803</v>
      </c>
      <c r="P27" s="280"/>
      <c r="Q27" s="492"/>
      <c r="R27" s="492"/>
      <c r="S27" s="492"/>
    </row>
    <row r="28" spans="2:19" s="95" customFormat="1" ht="15" customHeight="1">
      <c r="B28" s="504"/>
      <c r="C28" s="1485" t="s">
        <v>368</v>
      </c>
      <c r="D28" s="1424"/>
      <c r="E28" s="1424"/>
      <c r="F28" s="1424"/>
      <c r="G28" s="1484"/>
      <c r="H28" s="155">
        <v>8853</v>
      </c>
      <c r="I28" s="148">
        <f>'F5 Prognose ER'!G39+'F5 Prognose ER'!G40</f>
        <v>6905</v>
      </c>
      <c r="J28" s="505">
        <f>'F5 Prognose ER'!H39+'F5 Prognose ER'!H40</f>
        <v>7345</v>
      </c>
      <c r="K28" s="97">
        <f>'F5 Prognose ER'!I39+'F5 Prognose ER'!I40</f>
        <v>7544.1949999999997</v>
      </c>
      <c r="L28" s="98">
        <f>'F5 Prognose ER'!J39+'F5 Prognose ER'!J40</f>
        <v>7695.7201994999996</v>
      </c>
      <c r="M28" s="98">
        <f>'F5 Prognose ER'!K39+'F5 Prognose ER'!K40</f>
        <v>7904.8237047249004</v>
      </c>
      <c r="N28" s="98">
        <f>'F5 Prognose ER'!L39+'F5 Prognose ER'!L40</f>
        <v>8063.5941249658699</v>
      </c>
      <c r="O28" s="506">
        <f>'F5 Prognose ER'!M39+'F5 Prognose ER'!M40</f>
        <v>8283.1035439468797</v>
      </c>
      <c r="P28" s="280"/>
      <c r="Q28" s="492"/>
      <c r="R28" s="492"/>
      <c r="S28" s="492"/>
    </row>
    <row r="29" spans="2:19" s="95" customFormat="1" ht="15" customHeight="1">
      <c r="B29" s="487"/>
      <c r="C29" s="1475" t="s">
        <v>51</v>
      </c>
      <c r="D29" s="1475"/>
      <c r="E29" s="1475"/>
      <c r="F29" s="1475"/>
      <c r="G29" s="1476"/>
      <c r="H29" s="154">
        <v>2800</v>
      </c>
      <c r="I29" s="508">
        <f>'F5 Prognose ER'!G71</f>
        <v>31</v>
      </c>
      <c r="J29" s="488">
        <f>'F5 Prognose ER'!H71</f>
        <v>13</v>
      </c>
      <c r="K29" s="489">
        <f>'F5 Prognose ER'!I71</f>
        <v>225.36249999999927</v>
      </c>
      <c r="L29" s="490">
        <f>'F5 Prognose ER'!J71</f>
        <v>194.74695271969904</v>
      </c>
      <c r="M29" s="490">
        <f>'F5 Prognose ER'!K71</f>
        <v>180.95799142789474</v>
      </c>
      <c r="N29" s="490">
        <f>'F5 Prognose ER'!L71</f>
        <v>179.20899096218636</v>
      </c>
      <c r="O29" s="491">
        <f>'F5 Prognose ER'!M71</f>
        <v>386.77379064542401</v>
      </c>
      <c r="P29" s="280"/>
      <c r="Q29" s="492"/>
    </row>
    <row r="30" spans="2:19" s="95" customFormat="1" ht="15" customHeight="1">
      <c r="B30" s="493"/>
      <c r="C30" s="1477" t="s">
        <v>10</v>
      </c>
      <c r="D30" s="1477"/>
      <c r="E30" s="1477"/>
      <c r="F30" s="1477"/>
      <c r="G30" s="1478"/>
      <c r="H30" s="1190">
        <f>IF(OR(H34=0,H29=0,H34=0),"",(H34/H28)*H29)</f>
        <v>0.66418163334462899</v>
      </c>
      <c r="I30" s="513">
        <f>(I34/I28)*I29</f>
        <v>9.4279507603186093E-3</v>
      </c>
      <c r="J30" s="514">
        <f t="shared" ref="J30:O30" si="7">(J34/J28)*J29</f>
        <v>3.4513274336283187E-3</v>
      </c>
      <c r="K30" s="515">
        <f t="shared" si="7"/>
        <v>5.8250996295827272E-2</v>
      </c>
      <c r="L30" s="516">
        <f t="shared" si="7"/>
        <v>4.9346461144479548E-2</v>
      </c>
      <c r="M30" s="516">
        <f t="shared" si="7"/>
        <v>4.463958925149427E-2</v>
      </c>
      <c r="N30" s="516">
        <f t="shared" si="7"/>
        <v>4.3337688747788074E-2</v>
      </c>
      <c r="O30" s="517">
        <f t="shared" si="7"/>
        <v>9.1053901204668275E-2</v>
      </c>
      <c r="P30" s="280"/>
    </row>
    <row r="31" spans="2:19" s="95" customFormat="1" ht="15" customHeight="1">
      <c r="B31" s="504"/>
      <c r="C31" s="1483" t="s">
        <v>63</v>
      </c>
      <c r="D31" s="1424"/>
      <c r="E31" s="1424"/>
      <c r="F31" s="1424"/>
      <c r="G31" s="1484"/>
      <c r="H31" s="518">
        <f>H29</f>
        <v>2800</v>
      </c>
      <c r="I31" s="505">
        <f t="shared" ref="I31:M31" si="8">H31+I29</f>
        <v>2831</v>
      </c>
      <c r="J31" s="505">
        <f t="shared" si="8"/>
        <v>2844</v>
      </c>
      <c r="K31" s="97">
        <f t="shared" si="8"/>
        <v>3069.3624999999993</v>
      </c>
      <c r="L31" s="98">
        <f t="shared" si="8"/>
        <v>3264.1094527196983</v>
      </c>
      <c r="M31" s="98">
        <f t="shared" si="8"/>
        <v>3445.0674441475931</v>
      </c>
      <c r="N31" s="98">
        <f>M31+N29</f>
        <v>3624.2764351097794</v>
      </c>
      <c r="O31" s="506">
        <f>N31+O29</f>
        <v>4011.0502257552034</v>
      </c>
      <c r="P31" s="280"/>
    </row>
    <row r="32" spans="2:19" s="95" customFormat="1" ht="15" customHeight="1">
      <c r="B32" s="487"/>
      <c r="C32" s="1486" t="s">
        <v>197</v>
      </c>
      <c r="D32" s="1475"/>
      <c r="E32" s="1475"/>
      <c r="F32" s="1475"/>
      <c r="G32" s="1476"/>
      <c r="H32" s="1358">
        <f>IF('F0b Planungsparameter'!G10="Ja",'F1a Ausgangsbilanz'!F47,"eintragen")</f>
        <v>12950</v>
      </c>
      <c r="I32" s="508">
        <f>'F5c Prognose Bilanz'!F66</f>
        <v>12981</v>
      </c>
      <c r="J32" s="511">
        <f>'F5c Prognose Bilanz'!G66</f>
        <v>12994</v>
      </c>
      <c r="K32" s="512">
        <f>'F5c Prognose Bilanz'!H66</f>
        <v>13219.362499999999</v>
      </c>
      <c r="L32" s="490">
        <f>'F5c Prognose Bilanz'!I66</f>
        <v>13414.109452719698</v>
      </c>
      <c r="M32" s="490">
        <f>'F5c Prognose Bilanz'!J66</f>
        <v>13595.067444147593</v>
      </c>
      <c r="N32" s="490">
        <f>'F5c Prognose Bilanz'!K66</f>
        <v>13774.276435109779</v>
      </c>
      <c r="O32" s="491">
        <f>'F5c Prognose Bilanz'!L66</f>
        <v>14161.050225755203</v>
      </c>
      <c r="P32" s="280"/>
      <c r="Q32" s="85"/>
    </row>
    <row r="33" spans="2:21" s="95" customFormat="1" ht="15" customHeight="1">
      <c r="B33" s="504"/>
      <c r="C33" s="1483" t="s">
        <v>58</v>
      </c>
      <c r="D33" s="1424"/>
      <c r="E33" s="1424"/>
      <c r="F33" s="1424"/>
      <c r="G33" s="1484"/>
      <c r="H33" s="1359">
        <f>IF('F0b Planungsparameter'!G10="Ja",'F1a Ausgangsbilanz'!F42,"eintragen")</f>
        <v>23708</v>
      </c>
      <c r="I33" s="148">
        <f>'F5c Prognose Bilanz'!F61</f>
        <v>23323</v>
      </c>
      <c r="J33" s="505">
        <f>'F5c Prognose Bilanz'!G61</f>
        <v>23005</v>
      </c>
      <c r="K33" s="97">
        <f>'F5c Prognose Bilanz'!H61</f>
        <v>22910.362499999999</v>
      </c>
      <c r="L33" s="98">
        <f>'F5c Prognose Bilanz'!I61</f>
        <v>22805.109452719698</v>
      </c>
      <c r="M33" s="98">
        <f>'F5c Prognose Bilanz'!J61</f>
        <v>22706.067444147593</v>
      </c>
      <c r="N33" s="98">
        <f>'F5c Prognose Bilanz'!K61</f>
        <v>22625.276435109779</v>
      </c>
      <c r="O33" s="506">
        <f>'F5c Prognose Bilanz'!L61</f>
        <v>22772.050225755203</v>
      </c>
      <c r="P33" s="280"/>
      <c r="Q33" s="492"/>
      <c r="R33" s="492"/>
      <c r="S33" s="492"/>
    </row>
    <row r="34" spans="2:21" s="95" customFormat="1" ht="15" customHeight="1">
      <c r="B34" s="493"/>
      <c r="C34" s="1475" t="s">
        <v>56</v>
      </c>
      <c r="D34" s="1475"/>
      <c r="E34" s="1475"/>
      <c r="F34" s="1475"/>
      <c r="G34" s="1476"/>
      <c r="H34" s="201">
        <v>2.1</v>
      </c>
      <c r="I34" s="520">
        <f>'F0b Planungsparameter'!G34</f>
        <v>2.1</v>
      </c>
      <c r="J34" s="521">
        <f>'F0b Planungsparameter'!H34</f>
        <v>1.95</v>
      </c>
      <c r="K34" s="522">
        <f>'F0b Planungsparameter'!I34</f>
        <v>1.95</v>
      </c>
      <c r="L34" s="523">
        <f>'F0b Planungsparameter'!J34</f>
        <v>1.95</v>
      </c>
      <c r="M34" s="523">
        <f>'F0b Planungsparameter'!K34</f>
        <v>1.95</v>
      </c>
      <c r="N34" s="523">
        <f>'F0b Planungsparameter'!L34</f>
        <v>1.95</v>
      </c>
      <c r="O34" s="524">
        <f>'F0b Planungsparameter'!M34</f>
        <v>1.95</v>
      </c>
      <c r="P34" s="280"/>
    </row>
    <row r="35" spans="2:21" s="95" customFormat="1" ht="15" customHeight="1">
      <c r="B35" s="487"/>
      <c r="C35" s="1475" t="s">
        <v>13</v>
      </c>
      <c r="D35" s="1475"/>
      <c r="E35" s="1475"/>
      <c r="F35" s="1475"/>
      <c r="G35" s="1476"/>
      <c r="H35" s="202">
        <v>3171</v>
      </c>
      <c r="I35" s="508">
        <f>'F5 Prognose ER'!G56-'F5 Prognose ER'!G28</f>
        <v>2829</v>
      </c>
      <c r="J35" s="488">
        <f>'F5 Prognose ER'!H56-'F5 Prognose ER'!H28</f>
        <v>2556</v>
      </c>
      <c r="K35" s="489">
        <f>'F5 Prognose ER'!I56-'F5 Prognose ER'!I28</f>
        <v>2445</v>
      </c>
      <c r="L35" s="490">
        <f>'F5 Prognose ER'!J56-'F5 Prognose ER'!J28</f>
        <v>2325</v>
      </c>
      <c r="M35" s="490">
        <f>'F5 Prognose ER'!K56-'F5 Prognose ER'!K28</f>
        <v>2245</v>
      </c>
      <c r="N35" s="490">
        <f>'F5 Prognose ER'!L56-'F5 Prognose ER'!L28</f>
        <v>2225</v>
      </c>
      <c r="O35" s="491">
        <f>'F5 Prognose ER'!M56-'F5 Prognose ER'!M28</f>
        <v>2240</v>
      </c>
      <c r="P35" s="280"/>
    </row>
    <row r="36" spans="2:21" s="95" customFormat="1" ht="15" customHeight="1">
      <c r="B36" s="504"/>
      <c r="C36" s="1500" t="s">
        <v>249</v>
      </c>
      <c r="D36" s="1501"/>
      <c r="E36" s="1501"/>
      <c r="F36" s="1501"/>
      <c r="G36" s="1502"/>
      <c r="H36" s="155">
        <v>11000</v>
      </c>
      <c r="I36" s="1285">
        <f>'F5c Prognose Bilanz'!F59-'F1a Ausgangsbilanz'!$F$35-'F1a Ausgangsbilanz'!$F$36-'F1a Ausgangsbilanz'!$F$38-'F1a Ausgangsbilanz'!$F$39-'F1a Ausgangsbilanz'!$F$40</f>
        <v>12000</v>
      </c>
      <c r="J36" s="1309">
        <f>'F5c Prognose Bilanz'!G59-'F1a Ausgangsbilanz'!$F$35-'F1a Ausgangsbilanz'!$F$36-'F1a Ausgangsbilanz'!$F$38-'F1a Ausgangsbilanz'!$F$39-'F1a Ausgangsbilanz'!$F$40</f>
        <v>13740</v>
      </c>
      <c r="K36" s="1310">
        <f>'F5c Prognose Bilanz'!H59-'F1a Ausgangsbilanz'!$F$35-'F1a Ausgangsbilanz'!$F$36-'F1a Ausgangsbilanz'!$F$38-'F1a Ausgangsbilanz'!$F$39-'F1a Ausgangsbilanz'!$F$40</f>
        <v>16013.637500000001</v>
      </c>
      <c r="L36" s="1311">
        <f>'F5c Prognose Bilanz'!I59-'F1a Ausgangsbilanz'!$F$35-'F1a Ausgangsbilanz'!$F$36-'F1a Ausgangsbilanz'!$F$38-'F1a Ausgangsbilanz'!$F$39-'F1a Ausgangsbilanz'!$F$40</f>
        <v>18215.010244249999</v>
      </c>
      <c r="M36" s="1311">
        <f>'F5c Prognose Bilanz'!J59-'F1a Ausgangsbilanz'!$F$35-'F1a Ausgangsbilanz'!$F$36-'F1a Ausgangsbilanz'!$F$38-'F1a Ausgangsbilanz'!$F$39-'F1a Ausgangsbilanz'!$F$40</f>
        <v>19743.126495246346</v>
      </c>
      <c r="N36" s="1311">
        <f>'F5c Prognose Bilanz'!K59-'F1a Ausgangsbilanz'!$F$35-'F1a Ausgangsbilanz'!$F$36-'F1a Ausgangsbilanz'!$F$38-'F1a Ausgangsbilanz'!$F$39-'F1a Ausgangsbilanz'!$F$40</f>
        <v>20188.946292162949</v>
      </c>
      <c r="O36" s="1312">
        <f>'F5c Prognose Bilanz'!L59-'F1a Ausgangsbilanz'!$F$35-'F1a Ausgangsbilanz'!$F$36-'F1a Ausgangsbilanz'!$F$38-'F1a Ausgangsbilanz'!$F$39-'F1a Ausgangsbilanz'!$F$40</f>
        <v>19796.675531820554</v>
      </c>
      <c r="P36" s="280"/>
      <c r="Q36" s="280"/>
      <c r="T36" s="492"/>
      <c r="U36" s="492"/>
    </row>
    <row r="37" spans="2:21" s="95" customFormat="1" ht="15" customHeight="1">
      <c r="B37" s="526"/>
      <c r="H37" s="492"/>
      <c r="I37" s="280"/>
      <c r="J37" s="280"/>
      <c r="K37" s="280"/>
      <c r="L37" s="280"/>
      <c r="M37" s="280"/>
      <c r="N37" s="280"/>
      <c r="O37" s="280"/>
      <c r="P37" s="280"/>
      <c r="Q37" s="280"/>
      <c r="T37" s="492"/>
      <c r="U37" s="492"/>
    </row>
    <row r="38" spans="2:21" s="95" customFormat="1" ht="18" customHeight="1">
      <c r="B38" s="487"/>
      <c r="C38" s="1495" t="s">
        <v>309</v>
      </c>
      <c r="D38" s="1496"/>
      <c r="E38" s="1496"/>
      <c r="F38" s="1497"/>
      <c r="G38" s="527" t="s">
        <v>42</v>
      </c>
      <c r="H38" s="484">
        <f>I38-1</f>
        <v>2020</v>
      </c>
      <c r="I38" s="484">
        <f>Budget1</f>
        <v>2021</v>
      </c>
      <c r="J38" s="485">
        <f>Budget2</f>
        <v>2022</v>
      </c>
      <c r="K38" s="484">
        <f>Finz1</f>
        <v>2023</v>
      </c>
      <c r="L38" s="413">
        <f>K38+1</f>
        <v>2024</v>
      </c>
      <c r="M38" s="413">
        <f>L38+1</f>
        <v>2025</v>
      </c>
      <c r="N38" s="413">
        <f t="shared" ref="N38:O38" si="9">M38+1</f>
        <v>2026</v>
      </c>
      <c r="O38" s="735">
        <f t="shared" si="9"/>
        <v>2027</v>
      </c>
      <c r="P38" s="740" t="str">
        <f>"Ø "&amp;MID(J38,3,2)&amp;"-"&amp;MID(O38,3,2)</f>
        <v>Ø 22-27</v>
      </c>
    </row>
    <row r="39" spans="2:21" s="95" customFormat="1" ht="15" customHeight="1">
      <c r="B39" s="493"/>
      <c r="C39" s="525" t="s">
        <v>71</v>
      </c>
      <c r="D39" s="1477" t="s">
        <v>70</v>
      </c>
      <c r="E39" s="1477"/>
      <c r="F39" s="333" t="s">
        <v>64</v>
      </c>
      <c r="G39" s="528">
        <f>IF(AND(H44&gt;0.5*G44,I44&gt;0.5*G44,J44&gt;0.5*G44,K44&gt;0.5*G44,L44&gt;0.5*G44,M44&gt;0.5*G44,O44&gt;0.5*G44),80%,0)</f>
        <v>0</v>
      </c>
      <c r="H39" s="529">
        <f t="shared" ref="H39:O39" si="10">IF(H8&gt;0,H9/H8,"")</f>
        <v>1.5861405197305101</v>
      </c>
      <c r="I39" s="529">
        <f t="shared" si="10"/>
        <v>0.39565217391304347</v>
      </c>
      <c r="J39" s="530">
        <f t="shared" si="10"/>
        <v>0.38010657193605685</v>
      </c>
      <c r="K39" s="531">
        <f t="shared" si="10"/>
        <v>0.34001814223512317</v>
      </c>
      <c r="L39" s="532">
        <f t="shared" si="10"/>
        <v>0.36099484927431114</v>
      </c>
      <c r="M39" s="532">
        <f t="shared" si="10"/>
        <v>0.46381885929952715</v>
      </c>
      <c r="N39" s="532">
        <f t="shared" si="10"/>
        <v>0.76286181015074384</v>
      </c>
      <c r="O39" s="736">
        <f t="shared" si="10"/>
        <v>1.3113260002717411</v>
      </c>
      <c r="P39" s="741">
        <f>SUM(J9:O9)/SUM(J8:O8)</f>
        <v>0.50291968577122947</v>
      </c>
      <c r="R39" s="533"/>
    </row>
    <row r="40" spans="2:21" s="95" customFormat="1" ht="15" customHeight="1">
      <c r="B40" s="493"/>
      <c r="C40" s="525" t="s">
        <v>72</v>
      </c>
      <c r="D40" s="1477" t="s">
        <v>33</v>
      </c>
      <c r="E40" s="1477"/>
      <c r="F40" s="85" t="s">
        <v>64</v>
      </c>
      <c r="G40" s="1298">
        <f>IF(AND(H44&gt;0.5*G44,I44&gt;0.5*G44,J44&gt;0.5*G44,K44&gt;0.5*G44,L44&gt;0.5*G44,M44&gt;0.5*G44,O44&gt;0.5*G44),10%,0)</f>
        <v>0</v>
      </c>
      <c r="H40" s="534">
        <v>0.13800000000000001</v>
      </c>
      <c r="I40" s="534">
        <f t="shared" ref="I40:O40" si="11">I9/I26</f>
        <v>3.8573850791258475E-2</v>
      </c>
      <c r="J40" s="535">
        <f t="shared" si="11"/>
        <v>4.9242947213401445E-2</v>
      </c>
      <c r="K40" s="536">
        <f t="shared" si="11"/>
        <v>5.35162083141923E-2</v>
      </c>
      <c r="L40" s="537">
        <f t="shared" si="11"/>
        <v>5.6517972180522354E-2</v>
      </c>
      <c r="M40" s="537">
        <f t="shared" si="11"/>
        <v>5.9601825961297303E-2</v>
      </c>
      <c r="N40" s="537">
        <f t="shared" si="11"/>
        <v>6.4130350004410308E-2</v>
      </c>
      <c r="O40" s="737">
        <f t="shared" si="11"/>
        <v>7.3060832848401064E-2</v>
      </c>
      <c r="P40" s="742">
        <f>SUM(J9:O9)/SUM(J26:O26)</f>
        <v>5.9447445884033619E-2</v>
      </c>
      <c r="Q40" s="492"/>
    </row>
    <row r="41" spans="2:21" s="95" customFormat="1" ht="15" customHeight="1">
      <c r="B41" s="493"/>
      <c r="C41" s="525" t="s">
        <v>73</v>
      </c>
      <c r="D41" s="1479" t="s">
        <v>251</v>
      </c>
      <c r="E41" s="1477"/>
      <c r="F41" s="95" t="s">
        <v>0</v>
      </c>
      <c r="G41" s="1298">
        <v>0.04</v>
      </c>
      <c r="H41" s="534">
        <f>IF(OR(H26=0,H23=0),"",H23/H26)</f>
        <v>2.5108804820890524E-4</v>
      </c>
      <c r="I41" s="534">
        <f>IF(I26=0,0,I23/I26)</f>
        <v>1.4129615674453655E-4</v>
      </c>
      <c r="J41" s="535">
        <f t="shared" ref="J41:O41" si="12">IF(J26=0,0,J23/J26)</f>
        <v>1.840857839753325E-4</v>
      </c>
      <c r="K41" s="536">
        <f t="shared" si="12"/>
        <v>2.4499731473805625E-4</v>
      </c>
      <c r="L41" s="537">
        <f t="shared" si="12"/>
        <v>5.0202428047905145E-4</v>
      </c>
      <c r="M41" s="537">
        <f>IF(M26=0,0,M23/M26)</f>
        <v>9.9435849410891121E-4</v>
      </c>
      <c r="N41" s="537">
        <f t="shared" si="12"/>
        <v>1.3277892781281262E-3</v>
      </c>
      <c r="O41" s="737">
        <f t="shared" si="12"/>
        <v>1.411591298633769E-3</v>
      </c>
      <c r="P41" s="742">
        <f>SUM(J23:O23)/SUM(J26:O26)</f>
        <v>7.838616038824259E-4</v>
      </c>
    </row>
    <row r="42" spans="2:21" s="95" customFormat="1" ht="15" customHeight="1">
      <c r="B42" s="493"/>
      <c r="C42" s="733" t="s">
        <v>74</v>
      </c>
      <c r="D42" s="1477" t="s">
        <v>11</v>
      </c>
      <c r="E42" s="1477"/>
      <c r="F42" s="95" t="s">
        <v>0</v>
      </c>
      <c r="G42" s="1298">
        <v>0.15</v>
      </c>
      <c r="H42" s="534">
        <v>0.05</v>
      </c>
      <c r="I42" s="534">
        <f>I25/I26</f>
        <v>5.9250188394875662E-2</v>
      </c>
      <c r="J42" s="535">
        <f t="shared" ref="J42:O42" si="13">J25/J26</f>
        <v>6.4798195959317045E-2</v>
      </c>
      <c r="K42" s="536">
        <f t="shared" si="13"/>
        <v>5.8084922808142099E-2</v>
      </c>
      <c r="L42" s="537">
        <f t="shared" si="13"/>
        <v>6.1803333888352775E-2</v>
      </c>
      <c r="M42" s="537">
        <f t="shared" si="13"/>
        <v>6.5061845344437708E-2</v>
      </c>
      <c r="N42" s="537">
        <f t="shared" si="13"/>
        <v>6.9070764582807753E-2</v>
      </c>
      <c r="O42" s="737">
        <f t="shared" si="13"/>
        <v>6.7982316325572584E-2</v>
      </c>
      <c r="P42" s="742">
        <f>SUM(J25:O25)/SUM(J26:O26)</f>
        <v>6.4501208739188964E-2</v>
      </c>
    </row>
    <row r="43" spans="2:21" s="95" customFormat="1" ht="15" customHeight="1">
      <c r="B43" s="493"/>
      <c r="C43" s="734" t="s">
        <v>75</v>
      </c>
      <c r="D43" s="1479" t="s">
        <v>244</v>
      </c>
      <c r="E43" s="1477"/>
      <c r="F43" s="95" t="s">
        <v>0</v>
      </c>
      <c r="G43" s="1298">
        <v>1.5</v>
      </c>
      <c r="H43" s="538">
        <v>-4.8000000000000001E-2</v>
      </c>
      <c r="I43" s="538">
        <f t="shared" ref="I43:O43" si="14">I12/I27</f>
        <v>7.5904392764857886E-2</v>
      </c>
      <c r="J43" s="730">
        <f t="shared" si="14"/>
        <v>0.25889453621346886</v>
      </c>
      <c r="K43" s="539">
        <f t="shared" si="14"/>
        <v>0.49444065182322638</v>
      </c>
      <c r="L43" s="540">
        <f t="shared" si="14"/>
        <v>0.72233157563228534</v>
      </c>
      <c r="M43" s="540">
        <f t="shared" si="14"/>
        <v>0.87234387240886346</v>
      </c>
      <c r="N43" s="540">
        <f t="shared" si="14"/>
        <v>0.90955346270869863</v>
      </c>
      <c r="O43" s="732">
        <f t="shared" si="14"/>
        <v>0.85374708120235177</v>
      </c>
      <c r="P43" s="731">
        <f>SUM(J12:O12)/SUM(J27:O27)</f>
        <v>0.6885419808275508</v>
      </c>
    </row>
    <row r="44" spans="2:21" s="95" customFormat="1" ht="15" customHeight="1">
      <c r="B44" s="493"/>
      <c r="C44" s="733" t="s">
        <v>76</v>
      </c>
      <c r="D44" s="1479" t="s">
        <v>247</v>
      </c>
      <c r="E44" s="1477"/>
      <c r="F44" s="95" t="s">
        <v>0</v>
      </c>
      <c r="G44" s="541">
        <f>'F0b Planungsparameter'!M14*2</f>
        <v>870</v>
      </c>
      <c r="H44" s="542">
        <f t="shared" ref="H44:O44" si="15">(H12*1000)/H18</f>
        <v>-184.08631153068106</v>
      </c>
      <c r="I44" s="542">
        <f t="shared" si="15"/>
        <v>235.34045919763926</v>
      </c>
      <c r="J44" s="543">
        <f t="shared" si="15"/>
        <v>808.09974403234048</v>
      </c>
      <c r="K44" s="544">
        <f t="shared" si="15"/>
        <v>1544.1210617471111</v>
      </c>
      <c r="L44" s="545">
        <f t="shared" si="15"/>
        <v>2242.0747904059281</v>
      </c>
      <c r="M44" s="545">
        <f t="shared" si="15"/>
        <v>2710.0817548173832</v>
      </c>
      <c r="N44" s="545">
        <f t="shared" si="15"/>
        <v>2824.8481885161577</v>
      </c>
      <c r="O44" s="738">
        <f t="shared" si="15"/>
        <v>2673.5220039753603</v>
      </c>
      <c r="P44" s="743">
        <f>(SUM(J12:O12)*1000)/SUM(J18:O18)</f>
        <v>2145.0612801162997</v>
      </c>
    </row>
    <row r="45" spans="2:21" s="95" customFormat="1" ht="15" customHeight="1">
      <c r="B45" s="1334"/>
      <c r="C45" s="1335" t="s">
        <v>77</v>
      </c>
      <c r="D45" s="1498" t="s">
        <v>246</v>
      </c>
      <c r="E45" s="1499"/>
      <c r="F45" s="339" t="s">
        <v>0</v>
      </c>
      <c r="G45" s="1301">
        <f>'F0b Planungsparameter'!M15*2</f>
        <v>2450</v>
      </c>
      <c r="H45" s="542">
        <f t="shared" ref="H45:O45" si="16">IF(H17="??","??",H17/H18*1000)</f>
        <v>1746.4598786244098</v>
      </c>
      <c r="I45" s="542">
        <f t="shared" si="16"/>
        <v>1984.5376311063339</v>
      </c>
      <c r="J45" s="543">
        <f t="shared" si="16"/>
        <v>2448.7570566607815</v>
      </c>
      <c r="K45" s="544">
        <f t="shared" si="16"/>
        <v>3096.5417164230198</v>
      </c>
      <c r="L45" s="545">
        <f t="shared" si="16"/>
        <v>3678.0849460828881</v>
      </c>
      <c r="M45" s="545">
        <f t="shared" si="16"/>
        <v>3795.9072913625473</v>
      </c>
      <c r="N45" s="545">
        <f t="shared" si="16"/>
        <v>3577.0902406284035</v>
      </c>
      <c r="O45" s="738">
        <f t="shared" si="16"/>
        <v>3255.4249371435544</v>
      </c>
      <c r="P45" s="743">
        <f>(SUM(J17:O17)*1000)/SUM(J18:O18)</f>
        <v>3313.2273405760816</v>
      </c>
    </row>
    <row r="46" spans="2:21" s="95" customFormat="1" ht="15" customHeight="1">
      <c r="B46" s="504"/>
      <c r="C46" s="526" t="s">
        <v>54</v>
      </c>
      <c r="D46" s="1485" t="s">
        <v>248</v>
      </c>
      <c r="E46" s="1483"/>
      <c r="F46" s="546" t="s">
        <v>0</v>
      </c>
      <c r="G46" s="547">
        <v>2</v>
      </c>
      <c r="H46" s="548">
        <v>0.45200000000000001</v>
      </c>
      <c r="I46" s="549">
        <f>I36/I26</f>
        <v>0.5651846269781462</v>
      </c>
      <c r="J46" s="550">
        <f t="shared" ref="J46:O46" si="17">J36/J26</f>
        <v>0.63233466795526716</v>
      </c>
      <c r="K46" s="549">
        <f t="shared" si="17"/>
        <v>0.73161737747107514</v>
      </c>
      <c r="L46" s="549">
        <f t="shared" si="17"/>
        <v>0.82780064323340918</v>
      </c>
      <c r="M46" s="549">
        <f t="shared" si="17"/>
        <v>0.89018901260302807</v>
      </c>
      <c r="N46" s="549">
        <f t="shared" si="17"/>
        <v>0.90276256020901346</v>
      </c>
      <c r="O46" s="739">
        <f t="shared" si="17"/>
        <v>0.87537807767332809</v>
      </c>
      <c r="P46" s="548">
        <f>SUM(J36:O36)/SUM(J26:O26)</f>
        <v>0.81110755678991098</v>
      </c>
    </row>
    <row r="47" spans="2:21" ht="15" customHeight="1">
      <c r="D47" s="1473" t="s">
        <v>326</v>
      </c>
      <c r="E47" s="1474"/>
      <c r="F47" s="1474"/>
      <c r="G47" s="1474"/>
      <c r="H47" s="1474"/>
      <c r="I47" s="1474"/>
      <c r="J47" s="1474"/>
      <c r="K47" s="1474"/>
      <c r="L47" s="1474"/>
      <c r="M47" s="1474"/>
      <c r="N47" s="1474"/>
      <c r="O47" s="1474"/>
      <c r="P47" s="1474"/>
    </row>
    <row r="48" spans="2:21" ht="15" customHeight="1">
      <c r="D48" s="1474"/>
      <c r="E48" s="1474"/>
      <c r="F48" s="1474"/>
      <c r="G48" s="1474"/>
      <c r="H48" s="1474"/>
      <c r="I48" s="1474"/>
      <c r="J48" s="1474"/>
      <c r="K48" s="1474"/>
      <c r="L48" s="1474"/>
      <c r="M48" s="1474"/>
      <c r="N48" s="1474"/>
      <c r="O48" s="1474"/>
      <c r="P48" s="1474"/>
    </row>
    <row r="87" spans="2:17" s="551" customFormat="1" ht="9" customHeight="1">
      <c r="D87" s="552" t="s">
        <v>14</v>
      </c>
      <c r="H87" s="552"/>
      <c r="I87" s="552"/>
      <c r="J87" s="552"/>
      <c r="K87" s="552"/>
      <c r="L87" s="552"/>
      <c r="M87" s="552"/>
      <c r="N87" s="552"/>
      <c r="O87" s="552"/>
      <c r="P87" s="552"/>
      <c r="Q87" s="552"/>
    </row>
    <row r="88" spans="2:17" s="551" customFormat="1" ht="9" customHeight="1">
      <c r="B88" s="553"/>
      <c r="C88" s="554"/>
      <c r="D88" s="555"/>
      <c r="E88" s="555"/>
      <c r="F88" s="555"/>
      <c r="G88" s="555"/>
      <c r="H88" s="556" t="s">
        <v>37</v>
      </c>
      <c r="I88" s="557" t="s">
        <v>32</v>
      </c>
      <c r="J88" s="558" t="s">
        <v>32</v>
      </c>
      <c r="K88" s="559" t="s">
        <v>26</v>
      </c>
      <c r="L88" s="559"/>
      <c r="M88" s="559"/>
      <c r="N88" s="560"/>
      <c r="O88" s="560"/>
    </row>
    <row r="89" spans="2:17" s="551" customFormat="1" ht="9" customHeight="1">
      <c r="B89" s="561"/>
      <c r="C89" s="562"/>
      <c r="D89" s="563" t="s">
        <v>17</v>
      </c>
      <c r="E89" s="564"/>
      <c r="F89" s="564"/>
      <c r="G89" s="564"/>
      <c r="H89" s="565">
        <f>Rech</f>
        <v>2020</v>
      </c>
      <c r="I89" s="565">
        <f>Budget1</f>
        <v>2021</v>
      </c>
      <c r="J89" s="566">
        <f>Budget2</f>
        <v>2022</v>
      </c>
      <c r="K89" s="565">
        <f>Finz1</f>
        <v>2023</v>
      </c>
      <c r="L89" s="567">
        <f>K89+1</f>
        <v>2024</v>
      </c>
      <c r="M89" s="567">
        <f>L89+1</f>
        <v>2025</v>
      </c>
      <c r="N89" s="567">
        <f t="shared" ref="N89:O89" si="18">M89+1</f>
        <v>2026</v>
      </c>
      <c r="O89" s="567">
        <f t="shared" si="18"/>
        <v>2027</v>
      </c>
    </row>
    <row r="90" spans="2:17" s="551" customFormat="1" ht="9" customHeight="1">
      <c r="B90" s="568"/>
      <c r="C90" s="569" t="str">
        <f t="shared" ref="C90:D97" si="19">C39</f>
        <v>a.</v>
      </c>
      <c r="D90" s="555" t="str">
        <f t="shared" si="19"/>
        <v>Selbstfinanzierungsgrad</v>
      </c>
      <c r="E90" s="555"/>
      <c r="F90" s="555"/>
      <c r="G90" s="744"/>
      <c r="H90" s="570">
        <f>$G$39</f>
        <v>0</v>
      </c>
      <c r="I90" s="571">
        <f t="shared" ref="I90:O90" si="20">$G$39</f>
        <v>0</v>
      </c>
      <c r="J90" s="572">
        <f t="shared" si="20"/>
        <v>0</v>
      </c>
      <c r="K90" s="573">
        <f t="shared" si="20"/>
        <v>0</v>
      </c>
      <c r="L90" s="574">
        <f t="shared" si="20"/>
        <v>0</v>
      </c>
      <c r="M90" s="574">
        <f t="shared" si="20"/>
        <v>0</v>
      </c>
      <c r="N90" s="572">
        <f t="shared" si="20"/>
        <v>0</v>
      </c>
      <c r="O90" s="572">
        <f t="shared" si="20"/>
        <v>0</v>
      </c>
    </row>
    <row r="91" spans="2:17" s="551" customFormat="1" ht="9" customHeight="1">
      <c r="B91" s="575"/>
      <c r="C91" s="576" t="str">
        <f t="shared" si="19"/>
        <v>b.</v>
      </c>
      <c r="D91" s="577" t="str">
        <f t="shared" si="19"/>
        <v>Selbstfinanzierungsanteil</v>
      </c>
      <c r="E91" s="577"/>
      <c r="F91" s="577"/>
      <c r="G91" s="745"/>
      <c r="H91" s="578">
        <f>$G$40</f>
        <v>0</v>
      </c>
      <c r="I91" s="579">
        <f t="shared" ref="I91:O91" si="21">$G$40</f>
        <v>0</v>
      </c>
      <c r="J91" s="580">
        <f t="shared" si="21"/>
        <v>0</v>
      </c>
      <c r="K91" s="581">
        <f t="shared" si="21"/>
        <v>0</v>
      </c>
      <c r="L91" s="582">
        <f t="shared" si="21"/>
        <v>0</v>
      </c>
      <c r="M91" s="582">
        <f t="shared" si="21"/>
        <v>0</v>
      </c>
      <c r="N91" s="580">
        <f t="shared" si="21"/>
        <v>0</v>
      </c>
      <c r="O91" s="580">
        <f t="shared" si="21"/>
        <v>0</v>
      </c>
    </row>
    <row r="92" spans="2:17" s="551" customFormat="1" ht="9" customHeight="1">
      <c r="B92" s="575"/>
      <c r="C92" s="576" t="str">
        <f t="shared" si="19"/>
        <v>c.</v>
      </c>
      <c r="D92" s="577" t="str">
        <f t="shared" si="19"/>
        <v>Zinsbelastungsanteil</v>
      </c>
      <c r="E92" s="577"/>
      <c r="F92" s="577"/>
      <c r="G92" s="745"/>
      <c r="H92" s="578">
        <f>$G$41</f>
        <v>0.04</v>
      </c>
      <c r="I92" s="579">
        <f t="shared" ref="I92:O92" si="22">$G$41</f>
        <v>0.04</v>
      </c>
      <c r="J92" s="580">
        <f t="shared" si="22"/>
        <v>0.04</v>
      </c>
      <c r="K92" s="581">
        <f t="shared" si="22"/>
        <v>0.04</v>
      </c>
      <c r="L92" s="582">
        <f t="shared" si="22"/>
        <v>0.04</v>
      </c>
      <c r="M92" s="582">
        <f t="shared" si="22"/>
        <v>0.04</v>
      </c>
      <c r="N92" s="580">
        <f t="shared" si="22"/>
        <v>0.04</v>
      </c>
      <c r="O92" s="580">
        <f t="shared" si="22"/>
        <v>0.04</v>
      </c>
    </row>
    <row r="93" spans="2:17" s="551" customFormat="1" ht="9" customHeight="1">
      <c r="B93" s="575"/>
      <c r="C93" s="576" t="str">
        <f t="shared" si="19"/>
        <v>d.</v>
      </c>
      <c r="D93" s="577" t="str">
        <f t="shared" si="19"/>
        <v>Kapitaldienstanteil</v>
      </c>
      <c r="E93" s="577"/>
      <c r="F93" s="577"/>
      <c r="G93" s="745"/>
      <c r="H93" s="578">
        <f t="shared" ref="H93:O93" si="23">$G$42</f>
        <v>0.15</v>
      </c>
      <c r="I93" s="579">
        <f t="shared" si="23"/>
        <v>0.15</v>
      </c>
      <c r="J93" s="580">
        <f t="shared" si="23"/>
        <v>0.15</v>
      </c>
      <c r="K93" s="581">
        <f t="shared" si="23"/>
        <v>0.15</v>
      </c>
      <c r="L93" s="582">
        <f t="shared" si="23"/>
        <v>0.15</v>
      </c>
      <c r="M93" s="582">
        <f t="shared" si="23"/>
        <v>0.15</v>
      </c>
      <c r="N93" s="580">
        <f t="shared" si="23"/>
        <v>0.15</v>
      </c>
      <c r="O93" s="580">
        <f t="shared" si="23"/>
        <v>0.15</v>
      </c>
    </row>
    <row r="94" spans="2:17" s="551" customFormat="1" ht="9" customHeight="1">
      <c r="B94" s="575"/>
      <c r="C94" s="576" t="str">
        <f t="shared" si="19"/>
        <v>e.</v>
      </c>
      <c r="D94" s="577" t="str">
        <f t="shared" si="19"/>
        <v>Nettoverschuildungsquotient</v>
      </c>
      <c r="E94" s="577"/>
      <c r="F94" s="577"/>
      <c r="G94" s="745"/>
      <c r="H94" s="578">
        <f t="shared" ref="H94:O94" si="24">$G$43</f>
        <v>1.5</v>
      </c>
      <c r="I94" s="579">
        <f t="shared" si="24"/>
        <v>1.5</v>
      </c>
      <c r="J94" s="580">
        <f t="shared" si="24"/>
        <v>1.5</v>
      </c>
      <c r="K94" s="581">
        <f t="shared" si="24"/>
        <v>1.5</v>
      </c>
      <c r="L94" s="582">
        <f t="shared" si="24"/>
        <v>1.5</v>
      </c>
      <c r="M94" s="582">
        <f t="shared" si="24"/>
        <v>1.5</v>
      </c>
      <c r="N94" s="580">
        <f t="shared" si="24"/>
        <v>1.5</v>
      </c>
      <c r="O94" s="580">
        <f t="shared" si="24"/>
        <v>1.5</v>
      </c>
    </row>
    <row r="95" spans="2:17" s="551" customFormat="1" ht="9" customHeight="1">
      <c r="B95" s="575"/>
      <c r="C95" s="576" t="str">
        <f t="shared" si="19"/>
        <v>f.</v>
      </c>
      <c r="D95" s="577" t="str">
        <f t="shared" si="19"/>
        <v>Nettoschuld pro Einwohnwer</v>
      </c>
      <c r="E95" s="577"/>
      <c r="F95" s="577"/>
      <c r="G95" s="745"/>
      <c r="H95" s="747">
        <f t="shared" ref="H95:O95" si="25">$G$44</f>
        <v>870</v>
      </c>
      <c r="I95" s="748">
        <f t="shared" si="25"/>
        <v>870</v>
      </c>
      <c r="J95" s="749">
        <f t="shared" si="25"/>
        <v>870</v>
      </c>
      <c r="K95" s="750">
        <f t="shared" si="25"/>
        <v>870</v>
      </c>
      <c r="L95" s="751">
        <f t="shared" si="25"/>
        <v>870</v>
      </c>
      <c r="M95" s="751">
        <f t="shared" si="25"/>
        <v>870</v>
      </c>
      <c r="N95" s="749">
        <f t="shared" si="25"/>
        <v>870</v>
      </c>
      <c r="O95" s="749">
        <f t="shared" si="25"/>
        <v>870</v>
      </c>
    </row>
    <row r="96" spans="2:17" s="551" customFormat="1" ht="9" customHeight="1">
      <c r="B96" s="575"/>
      <c r="C96" s="576" t="str">
        <f t="shared" si="19"/>
        <v>g.</v>
      </c>
      <c r="D96" s="577" t="str">
        <f t="shared" si="19"/>
        <v>Nettoschuld ohne SF pro Einw.</v>
      </c>
      <c r="E96" s="577"/>
      <c r="F96" s="577"/>
      <c r="G96" s="745"/>
      <c r="H96" s="747">
        <f t="shared" ref="H96:O96" si="26">$G$45</f>
        <v>2450</v>
      </c>
      <c r="I96" s="748">
        <f t="shared" si="26"/>
        <v>2450</v>
      </c>
      <c r="J96" s="749">
        <f t="shared" si="26"/>
        <v>2450</v>
      </c>
      <c r="K96" s="750">
        <f t="shared" si="26"/>
        <v>2450</v>
      </c>
      <c r="L96" s="751">
        <f t="shared" si="26"/>
        <v>2450</v>
      </c>
      <c r="M96" s="751">
        <f t="shared" si="26"/>
        <v>2450</v>
      </c>
      <c r="N96" s="749">
        <f t="shared" si="26"/>
        <v>2450</v>
      </c>
      <c r="O96" s="749">
        <f t="shared" si="26"/>
        <v>2450</v>
      </c>
    </row>
    <row r="97" spans="2:17" s="551" customFormat="1" ht="9" customHeight="1">
      <c r="B97" s="583"/>
      <c r="C97" s="562" t="str">
        <f t="shared" si="19"/>
        <v>h.</v>
      </c>
      <c r="D97" s="564" t="str">
        <f t="shared" si="19"/>
        <v>Bruttoverschuldungsanteil</v>
      </c>
      <c r="E97" s="564"/>
      <c r="F97" s="564"/>
      <c r="G97" s="746"/>
      <c r="H97" s="752">
        <f>$G$46</f>
        <v>2</v>
      </c>
      <c r="I97" s="753">
        <f t="shared" ref="I97:O97" si="27">$G$46</f>
        <v>2</v>
      </c>
      <c r="J97" s="754">
        <f t="shared" si="27"/>
        <v>2</v>
      </c>
      <c r="K97" s="755">
        <f t="shared" si="27"/>
        <v>2</v>
      </c>
      <c r="L97" s="756">
        <f t="shared" si="27"/>
        <v>2</v>
      </c>
      <c r="M97" s="756">
        <f t="shared" si="27"/>
        <v>2</v>
      </c>
      <c r="N97" s="754">
        <f t="shared" si="27"/>
        <v>2</v>
      </c>
      <c r="O97" s="754">
        <f t="shared" si="27"/>
        <v>2</v>
      </c>
    </row>
    <row r="98" spans="2:17" s="551" customFormat="1" ht="9" customHeight="1">
      <c r="H98" s="584"/>
      <c r="I98" s="552"/>
      <c r="J98" s="552"/>
      <c r="K98" s="552"/>
      <c r="L98" s="552"/>
      <c r="M98" s="552"/>
      <c r="N98" s="552"/>
      <c r="O98" s="552"/>
    </row>
    <row r="99" spans="2:17">
      <c r="B99" s="551"/>
      <c r="C99" s="551"/>
      <c r="D99" s="552" t="s">
        <v>14</v>
      </c>
      <c r="E99" s="551"/>
      <c r="F99" s="551"/>
      <c r="G99" s="551"/>
      <c r="H99" s="552"/>
      <c r="I99" s="552"/>
      <c r="J99" s="552"/>
      <c r="K99" s="552"/>
      <c r="L99" s="552"/>
      <c r="M99" s="552"/>
      <c r="N99" s="552"/>
      <c r="O99" s="552"/>
      <c r="P99" s="94"/>
      <c r="Q99" s="94"/>
    </row>
    <row r="100" spans="2:17">
      <c r="B100" s="553"/>
      <c r="C100" s="554"/>
      <c r="D100" s="555"/>
      <c r="E100" s="555"/>
      <c r="F100" s="555"/>
      <c r="G100" s="555"/>
      <c r="H100" s="556" t="s">
        <v>37</v>
      </c>
      <c r="I100" s="557" t="s">
        <v>32</v>
      </c>
      <c r="J100" s="558" t="s">
        <v>32</v>
      </c>
      <c r="K100" s="559" t="s">
        <v>26</v>
      </c>
      <c r="L100" s="559"/>
      <c r="M100" s="559"/>
      <c r="N100" s="560"/>
      <c r="O100" s="560"/>
      <c r="P100" s="94"/>
      <c r="Q100" s="94"/>
    </row>
    <row r="101" spans="2:17">
      <c r="B101" s="561"/>
      <c r="C101" s="562"/>
      <c r="D101" s="563" t="s">
        <v>50</v>
      </c>
      <c r="E101" s="564"/>
      <c r="F101" s="564"/>
      <c r="G101" s="564"/>
      <c r="H101" s="565">
        <f>Rech</f>
        <v>2020</v>
      </c>
      <c r="I101" s="565">
        <f>Budget1</f>
        <v>2021</v>
      </c>
      <c r="J101" s="566">
        <f>Budget2</f>
        <v>2022</v>
      </c>
      <c r="K101" s="565">
        <f>Finz1</f>
        <v>2023</v>
      </c>
      <c r="L101" s="567">
        <f>K101+1</f>
        <v>2024</v>
      </c>
      <c r="M101" s="567">
        <f>L101+1</f>
        <v>2025</v>
      </c>
      <c r="N101" s="567">
        <f t="shared" ref="N101:O101" si="28">M101+1</f>
        <v>2026</v>
      </c>
      <c r="O101" s="567">
        <f t="shared" si="28"/>
        <v>2027</v>
      </c>
      <c r="P101" s="94"/>
      <c r="Q101" s="94"/>
    </row>
    <row r="102" spans="2:17" s="551" customFormat="1" ht="9" customHeight="1">
      <c r="B102" s="568"/>
      <c r="C102" s="569" t="str">
        <f>C39</f>
        <v>a.</v>
      </c>
      <c r="D102" s="555" t="str">
        <f>D39</f>
        <v>Selbstfinanzierungsgrad</v>
      </c>
      <c r="E102" s="555"/>
      <c r="F102" s="555"/>
      <c r="G102" s="744"/>
      <c r="H102" s="570">
        <f>$P39</f>
        <v>0.50291968577122947</v>
      </c>
      <c r="I102" s="571">
        <f t="shared" ref="I102:O102" si="29">$P39</f>
        <v>0.50291968577122947</v>
      </c>
      <c r="J102" s="572">
        <f t="shared" si="29"/>
        <v>0.50291968577122947</v>
      </c>
      <c r="K102" s="573">
        <f t="shared" si="29"/>
        <v>0.50291968577122947</v>
      </c>
      <c r="L102" s="574">
        <f t="shared" si="29"/>
        <v>0.50291968577122947</v>
      </c>
      <c r="M102" s="574">
        <f t="shared" si="29"/>
        <v>0.50291968577122947</v>
      </c>
      <c r="N102" s="572">
        <f t="shared" si="29"/>
        <v>0.50291968577122947</v>
      </c>
      <c r="O102" s="572">
        <f t="shared" si="29"/>
        <v>0.50291968577122947</v>
      </c>
    </row>
    <row r="103" spans="2:17" s="551" customFormat="1" ht="9" customHeight="1">
      <c r="B103" s="575"/>
      <c r="C103" s="576" t="str">
        <f t="shared" ref="C103:D103" si="30">C40</f>
        <v>b.</v>
      </c>
      <c r="D103" s="577" t="str">
        <f t="shared" si="30"/>
        <v>Selbstfinanzierungsanteil</v>
      </c>
      <c r="E103" s="577"/>
      <c r="F103" s="577"/>
      <c r="G103" s="745"/>
      <c r="H103" s="578">
        <f t="shared" ref="H103:O109" si="31">$P40</f>
        <v>5.9447445884033619E-2</v>
      </c>
      <c r="I103" s="579">
        <f t="shared" si="31"/>
        <v>5.9447445884033619E-2</v>
      </c>
      <c r="J103" s="580">
        <f t="shared" si="31"/>
        <v>5.9447445884033619E-2</v>
      </c>
      <c r="K103" s="581">
        <f t="shared" si="31"/>
        <v>5.9447445884033619E-2</v>
      </c>
      <c r="L103" s="582">
        <f t="shared" si="31"/>
        <v>5.9447445884033619E-2</v>
      </c>
      <c r="M103" s="582">
        <f t="shared" si="31"/>
        <v>5.9447445884033619E-2</v>
      </c>
      <c r="N103" s="580">
        <f t="shared" si="31"/>
        <v>5.9447445884033619E-2</v>
      </c>
      <c r="O103" s="580">
        <f t="shared" si="31"/>
        <v>5.9447445884033619E-2</v>
      </c>
    </row>
    <row r="104" spans="2:17" s="551" customFormat="1" ht="9" customHeight="1">
      <c r="B104" s="575"/>
      <c r="C104" s="576" t="str">
        <f t="shared" ref="C104:D104" si="32">C41</f>
        <v>c.</v>
      </c>
      <c r="D104" s="577" t="str">
        <f t="shared" si="32"/>
        <v>Zinsbelastungsanteil</v>
      </c>
      <c r="E104" s="577"/>
      <c r="F104" s="577"/>
      <c r="G104" s="745"/>
      <c r="H104" s="578">
        <f t="shared" si="31"/>
        <v>7.838616038824259E-4</v>
      </c>
      <c r="I104" s="579">
        <f t="shared" si="31"/>
        <v>7.838616038824259E-4</v>
      </c>
      <c r="J104" s="580">
        <f t="shared" si="31"/>
        <v>7.838616038824259E-4</v>
      </c>
      <c r="K104" s="581">
        <f t="shared" si="31"/>
        <v>7.838616038824259E-4</v>
      </c>
      <c r="L104" s="582">
        <f t="shared" si="31"/>
        <v>7.838616038824259E-4</v>
      </c>
      <c r="M104" s="582">
        <f t="shared" si="31"/>
        <v>7.838616038824259E-4</v>
      </c>
      <c r="N104" s="580">
        <f t="shared" si="31"/>
        <v>7.838616038824259E-4</v>
      </c>
      <c r="O104" s="580">
        <f t="shared" si="31"/>
        <v>7.838616038824259E-4</v>
      </c>
    </row>
    <row r="105" spans="2:17" s="551" customFormat="1" ht="9" customHeight="1">
      <c r="B105" s="575"/>
      <c r="C105" s="576" t="str">
        <f t="shared" ref="C105:D105" si="33">C42</f>
        <v>d.</v>
      </c>
      <c r="D105" s="577" t="str">
        <f t="shared" si="33"/>
        <v>Kapitaldienstanteil</v>
      </c>
      <c r="E105" s="577"/>
      <c r="F105" s="577"/>
      <c r="G105" s="745"/>
      <c r="H105" s="578">
        <f t="shared" si="31"/>
        <v>6.4501208739188964E-2</v>
      </c>
      <c r="I105" s="579">
        <f t="shared" si="31"/>
        <v>6.4501208739188964E-2</v>
      </c>
      <c r="J105" s="580">
        <f t="shared" si="31"/>
        <v>6.4501208739188964E-2</v>
      </c>
      <c r="K105" s="581">
        <f t="shared" si="31"/>
        <v>6.4501208739188964E-2</v>
      </c>
      <c r="L105" s="582">
        <f t="shared" si="31"/>
        <v>6.4501208739188964E-2</v>
      </c>
      <c r="M105" s="582">
        <f t="shared" si="31"/>
        <v>6.4501208739188964E-2</v>
      </c>
      <c r="N105" s="580">
        <f t="shared" si="31"/>
        <v>6.4501208739188964E-2</v>
      </c>
      <c r="O105" s="580">
        <f t="shared" si="31"/>
        <v>6.4501208739188964E-2</v>
      </c>
    </row>
    <row r="106" spans="2:17" s="551" customFormat="1" ht="9" customHeight="1">
      <c r="B106" s="575"/>
      <c r="C106" s="576" t="str">
        <f t="shared" ref="C106:D106" si="34">C43</f>
        <v>e.</v>
      </c>
      <c r="D106" s="577" t="str">
        <f t="shared" si="34"/>
        <v>Nettoverschuildungsquotient</v>
      </c>
      <c r="E106" s="577"/>
      <c r="F106" s="577"/>
      <c r="G106" s="745"/>
      <c r="H106" s="578">
        <f t="shared" si="31"/>
        <v>0.6885419808275508</v>
      </c>
      <c r="I106" s="579">
        <f t="shared" si="31"/>
        <v>0.6885419808275508</v>
      </c>
      <c r="J106" s="580">
        <f t="shared" si="31"/>
        <v>0.6885419808275508</v>
      </c>
      <c r="K106" s="581">
        <f t="shared" si="31"/>
        <v>0.6885419808275508</v>
      </c>
      <c r="L106" s="582">
        <f t="shared" si="31"/>
        <v>0.6885419808275508</v>
      </c>
      <c r="M106" s="582">
        <f t="shared" si="31"/>
        <v>0.6885419808275508</v>
      </c>
      <c r="N106" s="580">
        <f t="shared" si="31"/>
        <v>0.6885419808275508</v>
      </c>
      <c r="O106" s="580">
        <f t="shared" si="31"/>
        <v>0.6885419808275508</v>
      </c>
    </row>
    <row r="107" spans="2:17" s="551" customFormat="1" ht="9" customHeight="1">
      <c r="B107" s="575"/>
      <c r="C107" s="576" t="str">
        <f t="shared" ref="C107:D107" si="35">C44</f>
        <v>f.</v>
      </c>
      <c r="D107" s="577" t="str">
        <f t="shared" si="35"/>
        <v>Nettoschuld pro Einwohnwer</v>
      </c>
      <c r="E107" s="577"/>
      <c r="F107" s="577"/>
      <c r="G107" s="745"/>
      <c r="H107" s="747">
        <f t="shared" si="31"/>
        <v>2145.0612801162997</v>
      </c>
      <c r="I107" s="748">
        <f t="shared" si="31"/>
        <v>2145.0612801162997</v>
      </c>
      <c r="J107" s="749">
        <f t="shared" si="31"/>
        <v>2145.0612801162997</v>
      </c>
      <c r="K107" s="750">
        <f t="shared" si="31"/>
        <v>2145.0612801162997</v>
      </c>
      <c r="L107" s="751">
        <f t="shared" si="31"/>
        <v>2145.0612801162997</v>
      </c>
      <c r="M107" s="751">
        <f t="shared" si="31"/>
        <v>2145.0612801162997</v>
      </c>
      <c r="N107" s="749">
        <f t="shared" si="31"/>
        <v>2145.0612801162997</v>
      </c>
      <c r="O107" s="749">
        <f t="shared" si="31"/>
        <v>2145.0612801162997</v>
      </c>
    </row>
    <row r="108" spans="2:17" s="551" customFormat="1" ht="9" customHeight="1">
      <c r="B108" s="575"/>
      <c r="C108" s="576" t="str">
        <f t="shared" ref="C108:D108" si="36">C45</f>
        <v>g.</v>
      </c>
      <c r="D108" s="577" t="str">
        <f t="shared" si="36"/>
        <v>Nettoschuld ohne SF pro Einw.</v>
      </c>
      <c r="E108" s="577"/>
      <c r="F108" s="577"/>
      <c r="G108" s="745"/>
      <c r="H108" s="747">
        <f t="shared" si="31"/>
        <v>3313.2273405760816</v>
      </c>
      <c r="I108" s="748">
        <f t="shared" si="31"/>
        <v>3313.2273405760816</v>
      </c>
      <c r="J108" s="749">
        <f t="shared" si="31"/>
        <v>3313.2273405760816</v>
      </c>
      <c r="K108" s="750">
        <f t="shared" si="31"/>
        <v>3313.2273405760816</v>
      </c>
      <c r="L108" s="751">
        <f t="shared" si="31"/>
        <v>3313.2273405760816</v>
      </c>
      <c r="M108" s="751">
        <f t="shared" si="31"/>
        <v>3313.2273405760816</v>
      </c>
      <c r="N108" s="749">
        <f t="shared" si="31"/>
        <v>3313.2273405760816</v>
      </c>
      <c r="O108" s="749">
        <f t="shared" si="31"/>
        <v>3313.2273405760816</v>
      </c>
    </row>
    <row r="109" spans="2:17" s="551" customFormat="1" ht="9" customHeight="1">
      <c r="B109" s="583"/>
      <c r="C109" s="562" t="str">
        <f t="shared" ref="C109:D109" si="37">C46</f>
        <v>h.</v>
      </c>
      <c r="D109" s="564" t="str">
        <f t="shared" si="37"/>
        <v>Bruttoverschuldungsanteil</v>
      </c>
      <c r="E109" s="564"/>
      <c r="F109" s="564"/>
      <c r="G109" s="746"/>
      <c r="H109" s="752">
        <f t="shared" si="31"/>
        <v>0.81110755678991098</v>
      </c>
      <c r="I109" s="753">
        <f t="shared" si="31"/>
        <v>0.81110755678991098</v>
      </c>
      <c r="J109" s="754">
        <f t="shared" si="31"/>
        <v>0.81110755678991098</v>
      </c>
      <c r="K109" s="755">
        <f t="shared" si="31"/>
        <v>0.81110755678991098</v>
      </c>
      <c r="L109" s="756">
        <f t="shared" si="31"/>
        <v>0.81110755678991098</v>
      </c>
      <c r="M109" s="756">
        <f t="shared" si="31"/>
        <v>0.81110755678991098</v>
      </c>
      <c r="N109" s="754">
        <f t="shared" si="31"/>
        <v>0.81110755678991098</v>
      </c>
      <c r="O109" s="754">
        <f t="shared" si="31"/>
        <v>0.81110755678991098</v>
      </c>
    </row>
  </sheetData>
  <mergeCells count="34">
    <mergeCell ref="D44:E44"/>
    <mergeCell ref="C35:G35"/>
    <mergeCell ref="C38:F38"/>
    <mergeCell ref="D45:E45"/>
    <mergeCell ref="C36:G36"/>
    <mergeCell ref="C6:G6"/>
    <mergeCell ref="D41:E41"/>
    <mergeCell ref="D42:E42"/>
    <mergeCell ref="D43:E43"/>
    <mergeCell ref="C26:G26"/>
    <mergeCell ref="C28:G28"/>
    <mergeCell ref="D39:E39"/>
    <mergeCell ref="C31:G31"/>
    <mergeCell ref="C32:G32"/>
    <mergeCell ref="C27:G27"/>
    <mergeCell ref="C33:G33"/>
    <mergeCell ref="C34:G34"/>
    <mergeCell ref="C24:G24"/>
    <mergeCell ref="D47:P48"/>
    <mergeCell ref="C7:G7"/>
    <mergeCell ref="C8:G8"/>
    <mergeCell ref="C9:G9"/>
    <mergeCell ref="D40:E40"/>
    <mergeCell ref="C10:G10"/>
    <mergeCell ref="C25:G25"/>
    <mergeCell ref="C18:G18"/>
    <mergeCell ref="C19:G19"/>
    <mergeCell ref="C29:G29"/>
    <mergeCell ref="C30:G30"/>
    <mergeCell ref="C11:G11"/>
    <mergeCell ref="C12:G12"/>
    <mergeCell ref="C22:G22"/>
    <mergeCell ref="C23:G23"/>
    <mergeCell ref="D46:E46"/>
  </mergeCells>
  <phoneticPr fontId="2" type="noConversion"/>
  <conditionalFormatting sqref="H39:M40 O39:P40">
    <cfRule type="cellIs" dxfId="14" priority="38" stopIfTrue="1" operator="lessThan">
      <formula>$G39</formula>
    </cfRule>
    <cfRule type="cellIs" dxfId="13" priority="39" stopIfTrue="1" operator="greaterThanOrEqual">
      <formula>$G39</formula>
    </cfRule>
  </conditionalFormatting>
  <conditionalFormatting sqref="H41:P44">
    <cfRule type="cellIs" dxfId="12" priority="40" stopIfTrue="1" operator="greaterThan">
      <formula>$G41</formula>
    </cfRule>
    <cfRule type="cellIs" dxfId="11" priority="41" stopIfTrue="1" operator="lessThanOrEqual">
      <formula>$G41</formula>
    </cfRule>
  </conditionalFormatting>
  <conditionalFormatting sqref="H46:P46">
    <cfRule type="cellIs" dxfId="10" priority="36" stopIfTrue="1" operator="greaterThan">
      <formula>$G46</formula>
    </cfRule>
    <cfRule type="cellIs" dxfId="9" priority="37" stopIfTrue="1" operator="lessThanOrEqual">
      <formula>$G46</formula>
    </cfRule>
  </conditionalFormatting>
  <conditionalFormatting sqref="N39:N40">
    <cfRule type="cellIs" dxfId="8" priority="32" stopIfTrue="1" operator="lessThan">
      <formula>$G39</formula>
    </cfRule>
    <cfRule type="cellIs" dxfId="7" priority="33" stopIfTrue="1" operator="greaterThanOrEqual">
      <formula>$G39</formula>
    </cfRule>
  </conditionalFormatting>
  <conditionalFormatting sqref="H32:H33 H12:H16">
    <cfRule type="containsText" dxfId="6" priority="13" operator="containsText" text="??">
      <formula>NOT(ISERROR(SEARCH("??",H12)))</formula>
    </cfRule>
  </conditionalFormatting>
  <conditionalFormatting sqref="H13">
    <cfRule type="containsText" dxfId="5" priority="10" operator="containsText" text="eintragen">
      <formula>NOT(ISERROR(SEARCH("eintragen",H13)))</formula>
    </cfRule>
  </conditionalFormatting>
  <conditionalFormatting sqref="I16">
    <cfRule type="containsText" dxfId="4" priority="5" operator="containsText" text="eintragen">
      <formula>NOT(ISERROR(SEARCH("eintragen",I16)))</formula>
    </cfRule>
  </conditionalFormatting>
  <conditionalFormatting sqref="H45:O45">
    <cfRule type="cellIs" dxfId="3" priority="3" stopIfTrue="1" operator="greaterThan">
      <formula>$G45</formula>
    </cfRule>
    <cfRule type="cellIs" dxfId="2" priority="4" stopIfTrue="1" operator="lessThanOrEqual">
      <formula>$G45</formula>
    </cfRule>
  </conditionalFormatting>
  <conditionalFormatting sqref="P45">
    <cfRule type="cellIs" dxfId="1" priority="1" stopIfTrue="1" operator="greaterThan">
      <formula>$G45</formula>
    </cfRule>
    <cfRule type="cellIs" dxfId="0" priority="2" stopIfTrue="1" operator="lessThanOrEqual">
      <formula>$G45</formula>
    </cfRule>
  </conditionalFormatting>
  <pageMargins left="0.74803149606299213" right="0.55118110236220474" top="0.98425196850393704" bottom="0.98425196850393704" header="0.51181102362204722" footer="0.51181102362204722"/>
  <pageSetup paperSize="9" orientation="portrait" r:id="rId1"/>
  <headerFooter>
    <oddFooter>&amp;L&amp;8&amp;K000000© Legrafin                 &amp;D / &amp;T&amp;C&amp;8&amp;K000000Seite  &amp;P&amp;R&amp;8&amp;K000000&amp;F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A23"/>
  <sheetViews>
    <sheetView zoomScale="120" zoomScaleNormal="120" workbookViewId="0">
      <selection activeCell="E555" sqref="E555"/>
    </sheetView>
  </sheetViews>
  <sheetFormatPr baseColWidth="10" defaultColWidth="11.42578125" defaultRowHeight="11.25"/>
  <cols>
    <col min="1" max="1" width="2.7109375" style="55" customWidth="1"/>
    <col min="2" max="8" width="11.42578125" style="1"/>
    <col min="9" max="10" width="2" style="1" customWidth="1"/>
    <col min="11" max="11" width="2.7109375" style="1" customWidth="1"/>
    <col min="12" max="12" width="2" style="1" customWidth="1"/>
    <col min="13" max="16384" width="11.42578125" style="1"/>
  </cols>
  <sheetData>
    <row r="2" spans="1:1">
      <c r="A2" s="54"/>
    </row>
    <row r="23" spans="1:1">
      <c r="A23" s="54"/>
    </row>
  </sheetData>
  <phoneticPr fontId="2" type="noConversion"/>
  <pageMargins left="0.74803149606299213" right="0.74803149606299213" top="0.98425196850393704" bottom="0.98425196850393704" header="0.51181102362204722" footer="0.51181102362204722"/>
  <pageSetup paperSize="9" scale="65" orientation="portrait" r:id="rId1"/>
  <headerFooter>
    <oddFooter>&amp;L© Legrafin                 &amp;D / &amp;T&amp;C&amp;"System Font,Standard"&amp;K000000Seite  &amp;P&amp;R&amp;F</oddFooter>
  </headerFooter>
  <rowBreaks count="4" manualBreakCount="4">
    <brk id="96" max="16383" man="1"/>
    <brk id="192" max="16383" man="1"/>
    <brk id="288" max="16383" man="1"/>
    <brk id="384" max="16383" man="1"/>
  </rowBreaks>
  <drawing r:id="rId2"/>
  <extLst>
    <ext xmlns:mx="http://schemas.microsoft.com/office/mac/excel/2008/main" uri="{64002731-A6B0-56B0-2670-7721B7C09600}">
      <mx:PLV Mode="1" OnePage="0" WScale="74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A23"/>
  <sheetViews>
    <sheetView zoomScale="120" zoomScaleNormal="120" zoomScalePageLayoutView="112" workbookViewId="0">
      <selection activeCell="N23" sqref="N23"/>
    </sheetView>
  </sheetViews>
  <sheetFormatPr baseColWidth="10" defaultColWidth="11.42578125" defaultRowHeight="11.25"/>
  <cols>
    <col min="1" max="1" width="2.7109375" style="55" customWidth="1"/>
    <col min="2" max="8" width="11.42578125" style="1"/>
    <col min="9" max="10" width="2" style="1" customWidth="1"/>
    <col min="11" max="11" width="2.7109375" style="1" customWidth="1"/>
    <col min="12" max="12" width="2" style="1" customWidth="1"/>
    <col min="13" max="16384" width="11.42578125" style="1"/>
  </cols>
  <sheetData>
    <row r="2" spans="1:1">
      <c r="A2" s="75"/>
    </row>
    <row r="23" spans="1:1">
      <c r="A23" s="75"/>
    </row>
  </sheetData>
  <phoneticPr fontId="2" type="noConversion"/>
  <pageMargins left="0.74803149606299213" right="0.74803149606299213" top="0.98425196850393704" bottom="0.98425196850393704" header="0.51181102362204722" footer="0.51181102362204722"/>
  <pageSetup paperSize="9" scale="66" orientation="portrait" r:id="rId1"/>
  <headerFooter>
    <oddFooter>&amp;L&amp;8&amp;K000000© Legrafin                 &amp;D / &amp;T&amp;C&amp;8&amp;K000000Seite  &amp;P&amp;R&amp;8&amp;K000000&amp;F</oddFooter>
  </headerFooter>
  <rowBreaks count="2" manualBreakCount="2">
    <brk id="96" max="16383" man="1"/>
    <brk id="192" max="16383" man="1"/>
  </rowBreaks>
  <drawing r:id="rId2"/>
  <extLst>
    <ext xmlns:mx="http://schemas.microsoft.com/office/mac/excel/2008/main" uri="{64002731-A6B0-56B0-2670-7721B7C09600}">
      <mx:PLV Mode="1" OnePage="0" WScale="74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S60"/>
  <sheetViews>
    <sheetView zoomScale="150" zoomScaleNormal="150" zoomScalePageLayoutView="150" workbookViewId="0">
      <selection activeCell="I53" sqref="I53"/>
    </sheetView>
  </sheetViews>
  <sheetFormatPr baseColWidth="10" defaultRowHeight="12.75"/>
  <cols>
    <col min="1" max="1" width="3" style="86" customWidth="1"/>
    <col min="2" max="2" width="18.42578125" style="86" customWidth="1"/>
    <col min="3" max="3" width="10" style="86" customWidth="1"/>
    <col min="4" max="4" width="2.42578125" style="618" customWidth="1"/>
    <col min="5" max="5" width="4" style="86" customWidth="1"/>
    <col min="6" max="6" width="6" style="86" customWidth="1"/>
    <col min="7" max="7" width="6.7109375" style="86" customWidth="1"/>
    <col min="8" max="13" width="6.42578125" style="86" customWidth="1"/>
    <col min="15" max="19" width="6.85546875" customWidth="1"/>
  </cols>
  <sheetData>
    <row r="1" spans="1:15">
      <c r="A1" s="304" t="str">
        <f>"Aufgaben- und Finanzplan "&amp;TEXT(Budget2,0)&amp;" - "&amp;TEXT(Finz1+4,0)</f>
        <v>Aufgaben- und Finanzplan 2022 - 2027</v>
      </c>
      <c r="B1" s="185"/>
      <c r="C1" s="185"/>
      <c r="D1" s="759"/>
      <c r="E1" s="185"/>
      <c r="F1" s="1503"/>
      <c r="G1" s="1503"/>
      <c r="H1" s="1503"/>
      <c r="I1" s="186"/>
      <c r="J1" s="185"/>
      <c r="K1" s="185"/>
      <c r="L1" s="79"/>
      <c r="M1" s="79" t="str">
        <f>"Gemeinde "&amp;TEXT(Gemeinde,0)</f>
        <v>Gemeinde Menznau</v>
      </c>
    </row>
    <row r="3" spans="1:15">
      <c r="A3" s="84" t="s">
        <v>274</v>
      </c>
      <c r="B3" s="84"/>
      <c r="C3" s="84"/>
      <c r="D3" s="619"/>
      <c r="E3" s="84"/>
      <c r="F3" s="185"/>
      <c r="G3" s="185"/>
      <c r="H3" s="185"/>
      <c r="I3" s="185"/>
      <c r="J3" s="185"/>
      <c r="K3" s="185"/>
      <c r="L3" s="102"/>
      <c r="M3" s="102" t="s">
        <v>2</v>
      </c>
    </row>
    <row r="4" spans="1:15">
      <c r="A4" s="107"/>
      <c r="B4" s="85"/>
      <c r="C4" s="85"/>
      <c r="D4" s="757"/>
      <c r="E4" s="85"/>
      <c r="F4" s="85"/>
      <c r="G4" s="85"/>
      <c r="H4" s="85"/>
      <c r="I4" s="85"/>
      <c r="J4" s="85"/>
      <c r="K4" s="85"/>
      <c r="L4" s="85"/>
      <c r="M4" s="85"/>
    </row>
    <row r="5" spans="1:15">
      <c r="A5" s="760"/>
      <c r="B5" s="150"/>
      <c r="C5" s="150"/>
      <c r="D5" s="761"/>
      <c r="E5" s="150"/>
      <c r="F5" s="150"/>
      <c r="G5" s="762" t="str">
        <f>IF('F0b Planungsparameter'!$G$10="Ja","Budget","Rechng")</f>
        <v>Budget</v>
      </c>
      <c r="H5" s="763" t="s">
        <v>32</v>
      </c>
      <c r="I5" s="764" t="s">
        <v>26</v>
      </c>
      <c r="J5" s="765"/>
      <c r="K5" s="765"/>
      <c r="L5" s="765"/>
      <c r="M5" s="766"/>
      <c r="O5" s="1200" t="s">
        <v>327</v>
      </c>
    </row>
    <row r="6" spans="1:15">
      <c r="A6" s="767" t="s">
        <v>252</v>
      </c>
      <c r="B6" s="768" t="s">
        <v>253</v>
      </c>
      <c r="C6" s="768"/>
      <c r="D6" s="769"/>
      <c r="E6" s="390"/>
      <c r="F6" s="390"/>
      <c r="G6" s="770">
        <f>Budget1</f>
        <v>2021</v>
      </c>
      <c r="H6" s="771">
        <f>Budget2</f>
        <v>2022</v>
      </c>
      <c r="I6" s="772">
        <f>Finz1</f>
        <v>2023</v>
      </c>
      <c r="J6" s="773">
        <f>I6+1</f>
        <v>2024</v>
      </c>
      <c r="K6" s="773">
        <f t="shared" ref="K6:L6" si="0">J6+1</f>
        <v>2025</v>
      </c>
      <c r="L6" s="773">
        <f t="shared" si="0"/>
        <v>2026</v>
      </c>
      <c r="M6" s="774">
        <f>L6+1</f>
        <v>2027</v>
      </c>
      <c r="O6" s="1200" t="s">
        <v>328</v>
      </c>
    </row>
    <row r="7" spans="1:15">
      <c r="A7" s="775"/>
      <c r="B7" s="821" t="s">
        <v>23</v>
      </c>
      <c r="C7" s="821"/>
      <c r="D7" s="822"/>
      <c r="E7" s="823"/>
      <c r="F7" s="779"/>
      <c r="G7" s="119"/>
      <c r="H7" s="780"/>
      <c r="I7" s="781"/>
      <c r="J7" s="782"/>
      <c r="K7" s="782"/>
      <c r="L7" s="782"/>
      <c r="M7" s="783"/>
    </row>
    <row r="8" spans="1:15">
      <c r="A8" s="357">
        <v>30</v>
      </c>
      <c r="B8" s="1491" t="s">
        <v>29</v>
      </c>
      <c r="C8" s="1491"/>
      <c r="D8" s="1491"/>
      <c r="E8" s="1491"/>
      <c r="F8" s="85"/>
      <c r="G8" s="1096"/>
      <c r="H8" s="1097"/>
      <c r="I8" s="830">
        <f>H8*(1+'F0b Planungsparameter'!I21)</f>
        <v>0</v>
      </c>
      <c r="J8" s="831">
        <f>I8*(1+'F0b Planungsparameter'!J21)</f>
        <v>0</v>
      </c>
      <c r="K8" s="831">
        <f>J8*(1+'F0b Planungsparameter'!K21)</f>
        <v>0</v>
      </c>
      <c r="L8" s="831">
        <f>K8*(1+'F0b Planungsparameter'!L21)</f>
        <v>0</v>
      </c>
      <c r="M8" s="832">
        <f>L8*(1+'F0b Planungsparameter'!M21)</f>
        <v>0</v>
      </c>
    </row>
    <row r="9" spans="1:15">
      <c r="A9" s="357">
        <v>31</v>
      </c>
      <c r="B9" s="1479" t="s">
        <v>85</v>
      </c>
      <c r="C9" s="1479"/>
      <c r="D9" s="1479"/>
      <c r="E9" s="1479"/>
      <c r="F9" s="85"/>
      <c r="G9" s="1098"/>
      <c r="H9" s="1099"/>
      <c r="I9" s="784">
        <f>H9*(1+'F0b Planungsparameter'!I22)</f>
        <v>0</v>
      </c>
      <c r="J9" s="88">
        <f>I9*(1+'F0b Planungsparameter'!J22)</f>
        <v>0</v>
      </c>
      <c r="K9" s="88">
        <f>J9*(1+'F0b Planungsparameter'!K22)</f>
        <v>0</v>
      </c>
      <c r="L9" s="88">
        <f>K9*(1+'F0b Planungsparameter'!L22)</f>
        <v>0</v>
      </c>
      <c r="M9" s="89">
        <f>L9*(1+'F0b Planungsparameter'!M22)</f>
        <v>0</v>
      </c>
    </row>
    <row r="10" spans="1:15">
      <c r="A10" s="357">
        <v>36</v>
      </c>
      <c r="B10" s="85" t="s">
        <v>88</v>
      </c>
      <c r="C10" s="85"/>
      <c r="D10" s="757"/>
      <c r="E10" s="85"/>
      <c r="F10" s="85"/>
      <c r="G10" s="1098"/>
      <c r="H10" s="1099"/>
      <c r="I10" s="784">
        <f>H10*(1+'F0b Planungsparameter'!I23)</f>
        <v>0</v>
      </c>
      <c r="J10" s="88">
        <f>I10*(1+'F0b Planungsparameter'!J23)</f>
        <v>0</v>
      </c>
      <c r="K10" s="88">
        <f>J10*(1+'F0b Planungsparameter'!K23)</f>
        <v>0</v>
      </c>
      <c r="L10" s="88">
        <f>K10*(1+'F0b Planungsparameter'!L23)</f>
        <v>0</v>
      </c>
      <c r="M10" s="89">
        <f>L10*(1+'F0b Planungsparameter'!M23)</f>
        <v>0</v>
      </c>
    </row>
    <row r="11" spans="1:15">
      <c r="A11" s="785">
        <v>39</v>
      </c>
      <c r="B11" s="786" t="s">
        <v>271</v>
      </c>
      <c r="C11" s="786"/>
      <c r="D11" s="787"/>
      <c r="E11" s="824"/>
      <c r="F11" s="824"/>
      <c r="G11" s="1100"/>
      <c r="H11" s="1101"/>
      <c r="I11" s="825">
        <f>H11*(1+'F0b Planungsparameter'!I25)</f>
        <v>0</v>
      </c>
      <c r="J11" s="788">
        <f>I11*(1+'F0b Planungsparameter'!J25)</f>
        <v>0</v>
      </c>
      <c r="K11" s="788">
        <f>J11*(1+'F0b Planungsparameter'!K25)</f>
        <v>0</v>
      </c>
      <c r="L11" s="788">
        <f>K11*(1+'F0b Planungsparameter'!L25)</f>
        <v>0</v>
      </c>
      <c r="M11" s="789">
        <f>L11*(1+'F0b Planungsparameter'!M25)</f>
        <v>0</v>
      </c>
    </row>
    <row r="12" spans="1:15">
      <c r="A12" s="790"/>
      <c r="B12" s="390" t="s">
        <v>254</v>
      </c>
      <c r="C12" s="390"/>
      <c r="D12" s="791"/>
      <c r="E12" s="390"/>
      <c r="F12" s="390"/>
      <c r="G12" s="122">
        <f>SUM(G8:G11)</f>
        <v>0</v>
      </c>
      <c r="H12" s="792">
        <f t="shared" ref="H12:M12" si="1">SUM(H8:H11)</f>
        <v>0</v>
      </c>
      <c r="I12" s="509">
        <f t="shared" si="1"/>
        <v>0</v>
      </c>
      <c r="J12" s="91">
        <f t="shared" si="1"/>
        <v>0</v>
      </c>
      <c r="K12" s="91">
        <f t="shared" si="1"/>
        <v>0</v>
      </c>
      <c r="L12" s="91">
        <f t="shared" si="1"/>
        <v>0</v>
      </c>
      <c r="M12" s="92">
        <f t="shared" si="1"/>
        <v>0</v>
      </c>
    </row>
    <row r="13" spans="1:15">
      <c r="A13" s="775"/>
      <c r="B13" s="776" t="s">
        <v>34</v>
      </c>
      <c r="C13" s="776"/>
      <c r="D13" s="777"/>
      <c r="E13" s="778"/>
      <c r="F13" s="779"/>
      <c r="G13" s="793"/>
      <c r="H13" s="794"/>
      <c r="I13" s="795"/>
      <c r="J13" s="796"/>
      <c r="K13" s="796"/>
      <c r="L13" s="796"/>
      <c r="M13" s="797"/>
    </row>
    <row r="14" spans="1:15">
      <c r="A14" s="357">
        <v>40</v>
      </c>
      <c r="B14" s="85" t="s">
        <v>90</v>
      </c>
      <c r="C14" s="85"/>
      <c r="D14" s="757"/>
      <c r="E14" s="85"/>
      <c r="F14" s="85"/>
      <c r="G14" s="1096"/>
      <c r="H14" s="1097"/>
      <c r="I14" s="830">
        <f>H14*(1+'F0b Planungsparameter'!I37)*(1+'F0b Planungsparameter'!I35)</f>
        <v>0</v>
      </c>
      <c r="J14" s="831">
        <f>I14*(1+'F0b Planungsparameter'!J37)*(1+'F0b Planungsparameter'!J35)</f>
        <v>0</v>
      </c>
      <c r="K14" s="831">
        <f>J14*(1+'F0b Planungsparameter'!K37)*(1+'F0b Planungsparameter'!K35)</f>
        <v>0</v>
      </c>
      <c r="L14" s="831">
        <f>K14*(1+'F0b Planungsparameter'!L37)*(1+'F0b Planungsparameter'!L35)</f>
        <v>0</v>
      </c>
      <c r="M14" s="832">
        <f>L14*(1+'F0b Planungsparameter'!M37)*(1+'F0b Planungsparameter'!M35)</f>
        <v>0</v>
      </c>
    </row>
    <row r="15" spans="1:15">
      <c r="A15" s="357">
        <v>41</v>
      </c>
      <c r="B15" s="85" t="s">
        <v>18</v>
      </c>
      <c r="C15" s="85"/>
      <c r="D15" s="757"/>
      <c r="E15" s="85"/>
      <c r="F15" s="85"/>
      <c r="G15" s="1098"/>
      <c r="H15" s="1099"/>
      <c r="I15" s="784">
        <f>H15*(1+'F0b Planungsparameter'!I35)</f>
        <v>0</v>
      </c>
      <c r="J15" s="88">
        <f>I15*(1+'F0b Planungsparameter'!J35)</f>
        <v>0</v>
      </c>
      <c r="K15" s="88">
        <f>J15*(1+'F0b Planungsparameter'!K35)</f>
        <v>0</v>
      </c>
      <c r="L15" s="88">
        <f>K15*(1+'F0b Planungsparameter'!L35)</f>
        <v>0</v>
      </c>
      <c r="M15" s="89">
        <f>L15*(1+'F0b Planungsparameter'!M35)</f>
        <v>0</v>
      </c>
    </row>
    <row r="16" spans="1:15">
      <c r="A16" s="357">
        <v>42</v>
      </c>
      <c r="B16" s="85" t="s">
        <v>19</v>
      </c>
      <c r="C16" s="85"/>
      <c r="D16" s="757"/>
      <c r="E16" s="85"/>
      <c r="F16" s="85"/>
      <c r="G16" s="1098"/>
      <c r="H16" s="1099"/>
      <c r="I16" s="784">
        <f>H16*(1+'F0b Planungsparameter'!I24)</f>
        <v>0</v>
      </c>
      <c r="J16" s="88">
        <f>I16*(1+'F0b Planungsparameter'!J24)</f>
        <v>0</v>
      </c>
      <c r="K16" s="88">
        <f>J16*(1+'F0b Planungsparameter'!K24)</f>
        <v>0</v>
      </c>
      <c r="L16" s="88">
        <f>K16*(1+'F0b Planungsparameter'!L24)</f>
        <v>0</v>
      </c>
      <c r="M16" s="89">
        <f>L16*(1+'F0b Planungsparameter'!M24)</f>
        <v>0</v>
      </c>
    </row>
    <row r="17" spans="1:19">
      <c r="A17" s="826">
        <v>43</v>
      </c>
      <c r="B17" s="85" t="s">
        <v>94</v>
      </c>
      <c r="C17" s="85"/>
      <c r="D17" s="757"/>
      <c r="E17" s="85"/>
      <c r="F17" s="85"/>
      <c r="G17" s="1098"/>
      <c r="H17" s="1099"/>
      <c r="I17" s="784">
        <f>H17*(1+'F0b Planungsparameter'!I25)</f>
        <v>0</v>
      </c>
      <c r="J17" s="88">
        <f>I17*(1+'F0b Planungsparameter'!J25)</f>
        <v>0</v>
      </c>
      <c r="K17" s="88">
        <f>J17*(1+'F0b Planungsparameter'!K25)</f>
        <v>0</v>
      </c>
      <c r="L17" s="88">
        <f>K17*(1+'F0b Planungsparameter'!L25)</f>
        <v>0</v>
      </c>
      <c r="M17" s="89">
        <f>L17*(1+'F0b Planungsparameter'!M25)</f>
        <v>0</v>
      </c>
    </row>
    <row r="18" spans="1:19">
      <c r="A18" s="826">
        <v>44</v>
      </c>
      <c r="B18" s="85" t="s">
        <v>95</v>
      </c>
      <c r="C18" s="85"/>
      <c r="D18" s="757"/>
      <c r="E18" s="85"/>
      <c r="F18" s="85"/>
      <c r="G18" s="1098"/>
      <c r="H18" s="1099"/>
      <c r="I18" s="784">
        <f>H18</f>
        <v>0</v>
      </c>
      <c r="J18" s="88">
        <f t="shared" ref="J18:M18" si="2">I18</f>
        <v>0</v>
      </c>
      <c r="K18" s="88">
        <f t="shared" si="2"/>
        <v>0</v>
      </c>
      <c r="L18" s="88">
        <f t="shared" si="2"/>
        <v>0</v>
      </c>
      <c r="M18" s="89">
        <f t="shared" si="2"/>
        <v>0</v>
      </c>
    </row>
    <row r="19" spans="1:19">
      <c r="A19" s="826">
        <v>46</v>
      </c>
      <c r="B19" s="85" t="s">
        <v>98</v>
      </c>
      <c r="C19" s="85"/>
      <c r="D19" s="757"/>
      <c r="E19" s="85"/>
      <c r="F19" s="85"/>
      <c r="G19" s="1098"/>
      <c r="H19" s="1099"/>
      <c r="I19" s="784">
        <f>H19*(1+'F0b Planungsparameter'!I23)</f>
        <v>0</v>
      </c>
      <c r="J19" s="88">
        <f>I19*(1+'F0b Planungsparameter'!J23)</f>
        <v>0</v>
      </c>
      <c r="K19" s="88">
        <f>J19*(1+'F0b Planungsparameter'!K23)</f>
        <v>0</v>
      </c>
      <c r="L19" s="88">
        <f>K19*(1+'F0b Planungsparameter'!L23)</f>
        <v>0</v>
      </c>
      <c r="M19" s="89">
        <f>L19*(1+'F0b Planungsparameter'!M23)</f>
        <v>0</v>
      </c>
    </row>
    <row r="20" spans="1:19">
      <c r="A20" s="785">
        <v>49</v>
      </c>
      <c r="B20" s="786" t="s">
        <v>175</v>
      </c>
      <c r="C20" s="824"/>
      <c r="D20" s="829"/>
      <c r="E20" s="824"/>
      <c r="F20" s="824"/>
      <c r="G20" s="1100"/>
      <c r="H20" s="1101"/>
      <c r="I20" s="825">
        <f>H20*(1+'F0b Planungsparameter'!I25)</f>
        <v>0</v>
      </c>
      <c r="J20" s="788">
        <f>I20*(1+'F0b Planungsparameter'!J25)</f>
        <v>0</v>
      </c>
      <c r="K20" s="788">
        <f>J20*(1+'F0b Planungsparameter'!K25)</f>
        <v>0</v>
      </c>
      <c r="L20" s="788">
        <f>K20*(1+'F0b Planungsparameter'!L25)</f>
        <v>0</v>
      </c>
      <c r="M20" s="789">
        <f>L20*(1+'F0b Planungsparameter'!M25)</f>
        <v>0</v>
      </c>
    </row>
    <row r="21" spans="1:19">
      <c r="A21" s="790"/>
      <c r="B21" s="390" t="s">
        <v>255</v>
      </c>
      <c r="C21" s="390"/>
      <c r="D21" s="791"/>
      <c r="E21" s="390"/>
      <c r="F21" s="390"/>
      <c r="G21" s="122">
        <f>SUM(G14:G20)</f>
        <v>0</v>
      </c>
      <c r="H21" s="792">
        <f>SUM(H14:H20)</f>
        <v>0</v>
      </c>
      <c r="I21" s="509">
        <f t="shared" ref="I21:M21" si="3">SUM(I14:I20)</f>
        <v>0</v>
      </c>
      <c r="J21" s="91">
        <f t="shared" si="3"/>
        <v>0</v>
      </c>
      <c r="K21" s="91">
        <f t="shared" si="3"/>
        <v>0</v>
      </c>
      <c r="L21" s="91">
        <f t="shared" si="3"/>
        <v>0</v>
      </c>
      <c r="M21" s="92">
        <f t="shared" si="3"/>
        <v>0</v>
      </c>
    </row>
    <row r="23" spans="1:19">
      <c r="A23" s="798"/>
      <c r="B23" s="105"/>
      <c r="C23" s="105"/>
      <c r="D23" s="353"/>
      <c r="E23" s="827"/>
      <c r="F23" s="799" t="s">
        <v>313</v>
      </c>
      <c r="G23" s="799"/>
      <c r="H23" s="833" t="s">
        <v>32</v>
      </c>
      <c r="I23" s="765" t="s">
        <v>26</v>
      </c>
      <c r="J23" s="765"/>
      <c r="K23" s="765"/>
      <c r="L23" s="765"/>
      <c r="M23" s="766"/>
      <c r="O23" s="1136" t="s">
        <v>316</v>
      </c>
      <c r="P23" s="1137"/>
      <c r="Q23" s="1137"/>
      <c r="R23" s="1137"/>
      <c r="S23" s="1137"/>
    </row>
    <row r="24" spans="1:19">
      <c r="A24" s="767" t="s">
        <v>252</v>
      </c>
      <c r="B24" s="816" t="s">
        <v>256</v>
      </c>
      <c r="C24" s="816"/>
      <c r="D24" s="828"/>
      <c r="E24" s="791" t="s">
        <v>257</v>
      </c>
      <c r="F24" s="800" t="s">
        <v>314</v>
      </c>
      <c r="G24" s="800" t="s">
        <v>38</v>
      </c>
      <c r="H24" s="771">
        <f>Budget2</f>
        <v>2022</v>
      </c>
      <c r="I24" s="772">
        <f>Finz1</f>
        <v>2023</v>
      </c>
      <c r="J24" s="773">
        <f>I24+1</f>
        <v>2024</v>
      </c>
      <c r="K24" s="773">
        <f t="shared" ref="K24:L24" si="4">J24+1</f>
        <v>2025</v>
      </c>
      <c r="L24" s="773">
        <f t="shared" si="4"/>
        <v>2026</v>
      </c>
      <c r="M24" s="774">
        <f>L24+1</f>
        <v>2027</v>
      </c>
      <c r="O24" s="1138">
        <f>I24</f>
        <v>2023</v>
      </c>
      <c r="P24" s="1138">
        <f t="shared" ref="P24:S24" si="5">J24</f>
        <v>2024</v>
      </c>
      <c r="Q24" s="1138">
        <f t="shared" si="5"/>
        <v>2025</v>
      </c>
      <c r="R24" s="1138">
        <f t="shared" si="5"/>
        <v>2026</v>
      </c>
      <c r="S24" s="1138">
        <f t="shared" si="5"/>
        <v>2027</v>
      </c>
    </row>
    <row r="25" spans="1:19">
      <c r="A25" s="808"/>
      <c r="B25" s="809" t="s">
        <v>3</v>
      </c>
      <c r="C25" s="388"/>
      <c r="E25" s="801"/>
      <c r="F25" s="802" t="s">
        <v>315</v>
      </c>
      <c r="G25" s="802"/>
      <c r="H25" s="803"/>
      <c r="I25" s="781"/>
      <c r="J25" s="782"/>
      <c r="K25" s="782"/>
      <c r="L25" s="782"/>
      <c r="M25" s="783"/>
      <c r="O25" s="1137"/>
      <c r="P25" s="1137"/>
      <c r="Q25" s="1137"/>
      <c r="R25" s="1137"/>
      <c r="S25" s="1137"/>
    </row>
    <row r="26" spans="1:19">
      <c r="A26" s="804"/>
      <c r="B26" s="1102"/>
      <c r="C26" s="1102"/>
      <c r="D26" s="1102"/>
      <c r="E26" s="1103"/>
      <c r="F26" s="1134"/>
      <c r="G26" s="945">
        <f>SUM(H26:M26)</f>
        <v>0</v>
      </c>
      <c r="H26" s="1109"/>
      <c r="I26" s="1110"/>
      <c r="J26" s="1111"/>
      <c r="K26" s="1111"/>
      <c r="L26" s="1111"/>
      <c r="M26" s="1112"/>
      <c r="O26" s="1136">
        <f t="shared" ref="O26:O31" si="6">IF(OR($F26&gt;H$24,H26=0),0,IF(AND(OR($F26=0,$F26=H$24),$E26&gt;0),H26/$E26,0))</f>
        <v>0</v>
      </c>
      <c r="P26" s="1136">
        <f t="shared" ref="P26:P31" si="7">IF(AND($F26&lt;I$24,$F26&gt;0),O26+I26/$E26,IF($F26=I$24,SUM(H26:I26)/$E26,IF(AND($E26&gt;0,$F26=0),O26+I26/$E26,0)))</f>
        <v>0</v>
      </c>
      <c r="Q26" s="1136">
        <f t="shared" ref="Q26:Q31" si="8">IF(AND($F26&lt;J$24,$F26&gt;0),P26+J26/$E26,IF($F26=J$24,SUM(H26:J26)/$E26,IF(AND($E26&gt;0,$F26=0),P26+J26/$E26,0)))</f>
        <v>0</v>
      </c>
      <c r="R26" s="1136">
        <f t="shared" ref="R26:R31" si="9">IF(AND($F26&lt;K$24,$F26&gt;0),Q26+K26/$E26,IF($F26=K$24,SUM(H26:K26)/$E26,IF(AND($E26&gt;0,$F26=0),Q26+K26/$E26,0)))</f>
        <v>0</v>
      </c>
      <c r="S26" s="1136">
        <f t="shared" ref="S26:S31" si="10">IF(AND($F26&lt;L$24,$F26&gt;0),R26+L26/$E26,IF($F26=L$24,SUM(H26:L26)/$E26,IF(AND($E26&gt;0,$F26=0),R26+L26/$E26,0)))</f>
        <v>0</v>
      </c>
    </row>
    <row r="27" spans="1:19">
      <c r="A27" s="804"/>
      <c r="B27" s="1104"/>
      <c r="C27" s="1104"/>
      <c r="D27" s="1104"/>
      <c r="E27" s="1105"/>
      <c r="F27" s="1135"/>
      <c r="G27" s="805">
        <f t="shared" ref="G27:G30" si="11">SUM(H27:M27)</f>
        <v>0</v>
      </c>
      <c r="H27" s="1113"/>
      <c r="I27" s="1114"/>
      <c r="J27" s="1115"/>
      <c r="K27" s="1115"/>
      <c r="L27" s="1115"/>
      <c r="M27" s="1116"/>
      <c r="O27" s="1136">
        <f t="shared" si="6"/>
        <v>0</v>
      </c>
      <c r="P27" s="1136">
        <f t="shared" si="7"/>
        <v>0</v>
      </c>
      <c r="Q27" s="1136">
        <f t="shared" si="8"/>
        <v>0</v>
      </c>
      <c r="R27" s="1136">
        <f t="shared" si="9"/>
        <v>0</v>
      </c>
      <c r="S27" s="1136">
        <f t="shared" si="10"/>
        <v>0</v>
      </c>
    </row>
    <row r="28" spans="1:19">
      <c r="A28" s="804"/>
      <c r="B28" s="1104"/>
      <c r="C28" s="1104"/>
      <c r="D28" s="1104"/>
      <c r="E28" s="1105"/>
      <c r="F28" s="1135"/>
      <c r="G28" s="805">
        <f t="shared" ref="G28" si="12">SUM(H28:M28)</f>
        <v>0</v>
      </c>
      <c r="H28" s="1113"/>
      <c r="I28" s="1114"/>
      <c r="J28" s="1115"/>
      <c r="K28" s="1115"/>
      <c r="L28" s="1115"/>
      <c r="M28" s="1116"/>
      <c r="O28" s="1136">
        <f t="shared" si="6"/>
        <v>0</v>
      </c>
      <c r="P28" s="1136">
        <f t="shared" si="7"/>
        <v>0</v>
      </c>
      <c r="Q28" s="1136">
        <f t="shared" si="8"/>
        <v>0</v>
      </c>
      <c r="R28" s="1136">
        <f t="shared" si="9"/>
        <v>0</v>
      </c>
      <c r="S28" s="1136">
        <f t="shared" si="10"/>
        <v>0</v>
      </c>
    </row>
    <row r="29" spans="1:19">
      <c r="A29" s="804"/>
      <c r="B29" s="1104"/>
      <c r="C29" s="1104"/>
      <c r="D29" s="1104"/>
      <c r="E29" s="1105"/>
      <c r="F29" s="1135"/>
      <c r="G29" s="805">
        <f t="shared" si="11"/>
        <v>0</v>
      </c>
      <c r="H29" s="1113"/>
      <c r="I29" s="1114"/>
      <c r="J29" s="1115"/>
      <c r="K29" s="1115"/>
      <c r="L29" s="1115"/>
      <c r="M29" s="1116"/>
      <c r="O29" s="1136">
        <f t="shared" si="6"/>
        <v>0</v>
      </c>
      <c r="P29" s="1136">
        <f t="shared" si="7"/>
        <v>0</v>
      </c>
      <c r="Q29" s="1136">
        <f t="shared" si="8"/>
        <v>0</v>
      </c>
      <c r="R29" s="1136">
        <f t="shared" si="9"/>
        <v>0</v>
      </c>
      <c r="S29" s="1136">
        <f t="shared" si="10"/>
        <v>0</v>
      </c>
    </row>
    <row r="30" spans="1:19">
      <c r="A30" s="804"/>
      <c r="B30" s="1104"/>
      <c r="C30" s="1104"/>
      <c r="D30" s="1104"/>
      <c r="E30" s="1105"/>
      <c r="F30" s="1135"/>
      <c r="G30" s="805">
        <f t="shared" si="11"/>
        <v>0</v>
      </c>
      <c r="H30" s="1113"/>
      <c r="I30" s="1114"/>
      <c r="J30" s="1115"/>
      <c r="K30" s="1115"/>
      <c r="L30" s="1115"/>
      <c r="M30" s="1116"/>
      <c r="O30" s="1136">
        <f t="shared" si="6"/>
        <v>0</v>
      </c>
      <c r="P30" s="1136">
        <f t="shared" si="7"/>
        <v>0</v>
      </c>
      <c r="Q30" s="1136">
        <f t="shared" si="8"/>
        <v>0</v>
      </c>
      <c r="R30" s="1136">
        <f t="shared" si="9"/>
        <v>0</v>
      </c>
      <c r="S30" s="1136">
        <f t="shared" si="10"/>
        <v>0</v>
      </c>
    </row>
    <row r="31" spans="1:19">
      <c r="A31" s="806"/>
      <c r="B31" s="1106"/>
      <c r="C31" s="1106"/>
      <c r="D31" s="1107"/>
      <c r="E31" s="1108"/>
      <c r="F31" s="1135"/>
      <c r="G31" s="805">
        <f>SUM(H31:M31)</f>
        <v>0</v>
      </c>
      <c r="H31" s="1117"/>
      <c r="I31" s="1118"/>
      <c r="J31" s="1119"/>
      <c r="K31" s="1119"/>
      <c r="L31" s="1119"/>
      <c r="M31" s="1120"/>
      <c r="O31" s="1136">
        <f t="shared" si="6"/>
        <v>0</v>
      </c>
      <c r="P31" s="1136">
        <f t="shared" si="7"/>
        <v>0</v>
      </c>
      <c r="Q31" s="1136">
        <f t="shared" si="8"/>
        <v>0</v>
      </c>
      <c r="R31" s="1136">
        <f t="shared" si="9"/>
        <v>0</v>
      </c>
      <c r="S31" s="1136">
        <f t="shared" si="10"/>
        <v>0</v>
      </c>
    </row>
    <row r="32" spans="1:19">
      <c r="A32" s="790"/>
      <c r="B32" s="390" t="s">
        <v>258</v>
      </c>
      <c r="C32" s="390"/>
      <c r="D32" s="791"/>
      <c r="E32" s="390"/>
      <c r="F32" s="946"/>
      <c r="G32" s="946">
        <f>SUM(G26:G31)</f>
        <v>0</v>
      </c>
      <c r="H32" s="792">
        <f t="shared" ref="H32:L32" si="13">SUM(H26:H31)</f>
        <v>0</v>
      </c>
      <c r="I32" s="92">
        <f t="shared" si="13"/>
        <v>0</v>
      </c>
      <c r="J32" s="92">
        <f t="shared" si="13"/>
        <v>0</v>
      </c>
      <c r="K32" s="92">
        <f t="shared" si="13"/>
        <v>0</v>
      </c>
      <c r="L32" s="92">
        <f t="shared" si="13"/>
        <v>0</v>
      </c>
      <c r="M32" s="92">
        <f>SUM(M26:M31)</f>
        <v>0</v>
      </c>
    </row>
    <row r="33" spans="1:13">
      <c r="A33" s="808"/>
      <c r="B33" s="809"/>
      <c r="C33" s="809"/>
      <c r="D33" s="810"/>
      <c r="E33" s="811"/>
      <c r="F33" s="811"/>
      <c r="G33" s="811"/>
      <c r="H33" s="811"/>
      <c r="I33" s="811"/>
      <c r="J33" s="811"/>
      <c r="K33" s="811"/>
      <c r="L33" s="811"/>
      <c r="M33" s="811"/>
    </row>
    <row r="34" spans="1:13">
      <c r="A34" s="706"/>
      <c r="B34" s="814" t="s">
        <v>259</v>
      </c>
      <c r="C34" s="814"/>
      <c r="D34" s="807"/>
      <c r="E34" s="150"/>
      <c r="F34" s="150"/>
      <c r="G34" s="150"/>
      <c r="H34" s="834"/>
      <c r="I34" s="781"/>
      <c r="J34" s="782"/>
      <c r="K34" s="782"/>
      <c r="L34" s="782"/>
      <c r="M34" s="783"/>
    </row>
    <row r="35" spans="1:13">
      <c r="A35" s="808"/>
      <c r="B35" s="809" t="s">
        <v>260</v>
      </c>
      <c r="C35" s="809"/>
      <c r="D35" s="810"/>
      <c r="E35" s="811"/>
      <c r="F35" s="811"/>
      <c r="G35" s="811"/>
      <c r="H35" s="835"/>
      <c r="I35" s="812"/>
      <c r="J35" s="151"/>
      <c r="K35" s="151"/>
      <c r="L35" s="151"/>
      <c r="M35" s="813"/>
    </row>
    <row r="36" spans="1:13">
      <c r="A36" s="357"/>
      <c r="B36" s="1104"/>
      <c r="C36" s="1104"/>
      <c r="D36" s="1121"/>
      <c r="E36" s="1104"/>
      <c r="F36" s="1102"/>
      <c r="G36" s="1102"/>
      <c r="H36" s="1122"/>
      <c r="I36" s="1125"/>
      <c r="J36" s="1111"/>
      <c r="K36" s="1111"/>
      <c r="L36" s="1111"/>
      <c r="M36" s="1112"/>
    </row>
    <row r="37" spans="1:13">
      <c r="A37" s="357"/>
      <c r="B37" s="1104"/>
      <c r="C37" s="1104"/>
      <c r="D37" s="1121"/>
      <c r="E37" s="1104"/>
      <c r="F37" s="1104"/>
      <c r="G37" s="1104"/>
      <c r="H37" s="1123"/>
      <c r="I37" s="1114"/>
      <c r="J37" s="1115"/>
      <c r="K37" s="1115"/>
      <c r="L37" s="1115"/>
      <c r="M37" s="1116"/>
    </row>
    <row r="38" spans="1:13">
      <c r="A38" s="357"/>
      <c r="B38" s="1104"/>
      <c r="C38" s="1104"/>
      <c r="D38" s="1121"/>
      <c r="E38" s="1104"/>
      <c r="F38" s="1104"/>
      <c r="G38" s="1104"/>
      <c r="H38" s="1123"/>
      <c r="I38" s="1114"/>
      <c r="J38" s="1115"/>
      <c r="K38" s="1115"/>
      <c r="L38" s="1115"/>
      <c r="M38" s="1116"/>
    </row>
    <row r="39" spans="1:13">
      <c r="A39" s="785"/>
      <c r="B39" s="1106" t="s">
        <v>57</v>
      </c>
      <c r="C39" s="1106"/>
      <c r="D39" s="1107"/>
      <c r="E39" s="1106"/>
      <c r="F39" s="1106"/>
      <c r="G39" s="1106"/>
      <c r="H39" s="1124"/>
      <c r="I39" s="1118"/>
      <c r="J39" s="1119"/>
      <c r="K39" s="1119"/>
      <c r="L39" s="1119"/>
      <c r="M39" s="1120"/>
    </row>
    <row r="40" spans="1:13">
      <c r="A40" s="790"/>
      <c r="B40" s="390" t="s">
        <v>261</v>
      </c>
      <c r="C40" s="390"/>
      <c r="D40" s="791"/>
      <c r="E40" s="390"/>
      <c r="F40" s="815"/>
      <c r="G40" s="815"/>
      <c r="H40" s="836"/>
      <c r="I40" s="509">
        <f>SUM(I36:I39)</f>
        <v>0</v>
      </c>
      <c r="J40" s="509">
        <f t="shared" ref="J40:M40" si="14">SUM(J36:J39)</f>
        <v>0</v>
      </c>
      <c r="K40" s="509">
        <f t="shared" si="14"/>
        <v>0</v>
      </c>
      <c r="L40" s="509">
        <f t="shared" si="14"/>
        <v>0</v>
      </c>
      <c r="M40" s="837">
        <f t="shared" si="14"/>
        <v>0</v>
      </c>
    </row>
    <row r="41" spans="1:13">
      <c r="M41" s="199"/>
    </row>
    <row r="42" spans="1:13">
      <c r="A42" s="760"/>
      <c r="B42" s="105"/>
      <c r="C42" s="105"/>
      <c r="D42" s="761"/>
      <c r="E42" s="150"/>
      <c r="F42" s="150"/>
      <c r="G42" s="150"/>
      <c r="H42" s="833" t="s">
        <v>32</v>
      </c>
      <c r="I42" s="765" t="s">
        <v>26</v>
      </c>
      <c r="J42" s="765"/>
      <c r="K42" s="765"/>
      <c r="L42" s="765"/>
      <c r="M42" s="766"/>
    </row>
    <row r="43" spans="1:13">
      <c r="A43" s="767" t="s">
        <v>252</v>
      </c>
      <c r="B43" s="816" t="s">
        <v>262</v>
      </c>
      <c r="C43" s="816"/>
      <c r="D43" s="791"/>
      <c r="E43" s="390"/>
      <c r="F43" s="390"/>
      <c r="G43" s="390"/>
      <c r="H43" s="839">
        <f>Budget2</f>
        <v>2022</v>
      </c>
      <c r="I43" s="772">
        <f>Finz1</f>
        <v>2023</v>
      </c>
      <c r="J43" s="773">
        <f>I43+1</f>
        <v>2024</v>
      </c>
      <c r="K43" s="773">
        <f t="shared" ref="K43:L43" si="15">J43+1</f>
        <v>2025</v>
      </c>
      <c r="L43" s="773">
        <f t="shared" si="15"/>
        <v>2026</v>
      </c>
      <c r="M43" s="774">
        <f>L43+1</f>
        <v>2027</v>
      </c>
    </row>
    <row r="44" spans="1:13">
      <c r="A44" s="775"/>
      <c r="B44" s="776" t="s">
        <v>273</v>
      </c>
      <c r="C44" s="776"/>
      <c r="D44" s="777"/>
      <c r="E44" s="778"/>
      <c r="F44" s="778"/>
      <c r="G44" s="778"/>
      <c r="H44" s="802"/>
      <c r="I44" s="781"/>
      <c r="J44" s="782"/>
      <c r="K44" s="782"/>
      <c r="L44" s="782"/>
      <c r="M44" s="783"/>
    </row>
    <row r="45" spans="1:13">
      <c r="A45" s="357"/>
      <c r="B45" s="85" t="s">
        <v>263</v>
      </c>
      <c r="C45" s="85"/>
      <c r="D45" s="757"/>
      <c r="E45" s="85"/>
      <c r="F45" s="85"/>
      <c r="G45" s="85"/>
      <c r="H45" s="1126"/>
      <c r="I45" s="838">
        <f>H45+H53+H32</f>
        <v>0</v>
      </c>
      <c r="J45" s="817">
        <f>I45+I53+I54+I32</f>
        <v>0</v>
      </c>
      <c r="K45" s="817">
        <f t="shared" ref="K45:M45" si="16">J45+J53+J54+J32</f>
        <v>0</v>
      </c>
      <c r="L45" s="817">
        <f t="shared" si="16"/>
        <v>0</v>
      </c>
      <c r="M45" s="818">
        <f t="shared" si="16"/>
        <v>0</v>
      </c>
    </row>
    <row r="46" spans="1:13">
      <c r="A46" s="357"/>
      <c r="B46" s="85" t="s">
        <v>264</v>
      </c>
      <c r="C46" s="85"/>
      <c r="D46" s="757"/>
      <c r="E46" s="85"/>
      <c r="F46" s="85"/>
      <c r="G46" s="85"/>
      <c r="H46" s="1126"/>
      <c r="I46" s="838">
        <f>IF(H47-H46+H58-H59&lt;=0,-(H47-H46+H58-H59),0)</f>
        <v>0</v>
      </c>
      <c r="J46" s="817">
        <f t="shared" ref="J46:M46" si="17">IF(I47-I46+I58-I59&lt;=0,-(I47-I46+I58-I59),0)</f>
        <v>0</v>
      </c>
      <c r="K46" s="817">
        <f t="shared" si="17"/>
        <v>0</v>
      </c>
      <c r="L46" s="817">
        <f t="shared" si="17"/>
        <v>0</v>
      </c>
      <c r="M46" s="818">
        <f t="shared" si="17"/>
        <v>0</v>
      </c>
    </row>
    <row r="47" spans="1:13">
      <c r="A47" s="357"/>
      <c r="B47" s="85" t="s">
        <v>265</v>
      </c>
      <c r="C47" s="85"/>
      <c r="D47" s="757"/>
      <c r="E47" s="85"/>
      <c r="F47" s="85"/>
      <c r="G47" s="85"/>
      <c r="H47" s="1126"/>
      <c r="I47" s="838">
        <f>IF(H47-H46+H58-H59&gt;=0,H47-H46+H58-H59,0)</f>
        <v>0</v>
      </c>
      <c r="J47" s="838">
        <f t="shared" ref="J47:M47" si="18">IF(I47-I46+I58-I59&gt;=0,I47-I46+I58-I59,0)</f>
        <v>0</v>
      </c>
      <c r="K47" s="838">
        <f t="shared" si="18"/>
        <v>0</v>
      </c>
      <c r="L47" s="838">
        <f t="shared" si="18"/>
        <v>0</v>
      </c>
      <c r="M47" s="844">
        <f t="shared" si="18"/>
        <v>0</v>
      </c>
    </row>
    <row r="48" spans="1:13">
      <c r="A48" s="841"/>
      <c r="B48" s="765" t="s">
        <v>266</v>
      </c>
      <c r="C48" s="765"/>
      <c r="D48" s="842"/>
      <c r="E48" s="765"/>
      <c r="F48" s="765"/>
      <c r="G48" s="765"/>
      <c r="H48" s="938">
        <f>'F0b Planungsparameter'!H29</f>
        <v>7.4999999999999997E-3</v>
      </c>
      <c r="I48" s="939">
        <f>'F0b Planungsparameter'!I29</f>
        <v>7.4999999999999997E-3</v>
      </c>
      <c r="J48" s="940">
        <f>'F0b Planungsparameter'!J29</f>
        <v>7.4999999999999997E-3</v>
      </c>
      <c r="K48" s="940">
        <f>'F0b Planungsparameter'!K29</f>
        <v>7.4999999999999997E-3</v>
      </c>
      <c r="L48" s="940">
        <f>'F0b Planungsparameter'!L29</f>
        <v>7.4999999999999997E-3</v>
      </c>
      <c r="M48" s="941">
        <f>'F0b Planungsparameter'!M29</f>
        <v>7.4999999999999997E-3</v>
      </c>
    </row>
    <row r="49" spans="1:13">
      <c r="A49" s="775"/>
      <c r="B49" s="776" t="s">
        <v>272</v>
      </c>
      <c r="C49" s="776"/>
      <c r="D49" s="777"/>
      <c r="E49" s="778"/>
      <c r="F49" s="778"/>
      <c r="G49" s="778"/>
      <c r="H49" s="802"/>
      <c r="I49" s="781"/>
      <c r="J49" s="782"/>
      <c r="K49" s="782"/>
      <c r="L49" s="782"/>
      <c r="M49" s="783"/>
    </row>
    <row r="50" spans="1:13">
      <c r="A50" s="357"/>
      <c r="B50" s="85" t="s">
        <v>267</v>
      </c>
      <c r="C50" s="85"/>
      <c r="D50" s="757"/>
      <c r="E50" s="85"/>
      <c r="F50" s="85"/>
      <c r="G50" s="85"/>
      <c r="H50" s="840">
        <f>H21</f>
        <v>0</v>
      </c>
      <c r="I50" s="838">
        <f t="shared" ref="I50:M50" si="19">I21</f>
        <v>0</v>
      </c>
      <c r="J50" s="817">
        <f t="shared" si="19"/>
        <v>0</v>
      </c>
      <c r="K50" s="817">
        <f t="shared" si="19"/>
        <v>0</v>
      </c>
      <c r="L50" s="817">
        <f t="shared" si="19"/>
        <v>0</v>
      </c>
      <c r="M50" s="818">
        <f t="shared" si="19"/>
        <v>0</v>
      </c>
    </row>
    <row r="51" spans="1:13">
      <c r="A51" s="357"/>
      <c r="B51" s="85" t="s">
        <v>268</v>
      </c>
      <c r="C51" s="85"/>
      <c r="D51" s="757"/>
      <c r="E51" s="85"/>
      <c r="F51" s="85"/>
      <c r="G51" s="85"/>
      <c r="H51" s="840">
        <f>-H12</f>
        <v>0</v>
      </c>
      <c r="I51" s="838">
        <f t="shared" ref="I51:M51" si="20">-I12</f>
        <v>0</v>
      </c>
      <c r="J51" s="817">
        <f t="shared" si="20"/>
        <v>0</v>
      </c>
      <c r="K51" s="817">
        <f t="shared" si="20"/>
        <v>0</v>
      </c>
      <c r="L51" s="817">
        <f t="shared" si="20"/>
        <v>0</v>
      </c>
      <c r="M51" s="818">
        <f t="shared" si="20"/>
        <v>0</v>
      </c>
    </row>
    <row r="52" spans="1:13">
      <c r="A52" s="357"/>
      <c r="B52" s="85" t="s">
        <v>269</v>
      </c>
      <c r="C52" s="85"/>
      <c r="D52" s="757"/>
      <c r="E52" s="85"/>
      <c r="F52" s="85"/>
      <c r="G52" s="85"/>
      <c r="H52" s="840">
        <f>H40</f>
        <v>0</v>
      </c>
      <c r="I52" s="838">
        <f>I40</f>
        <v>0</v>
      </c>
      <c r="J52" s="817">
        <f t="shared" ref="J52:M52" si="21">J40</f>
        <v>0</v>
      </c>
      <c r="K52" s="817">
        <f t="shared" si="21"/>
        <v>0</v>
      </c>
      <c r="L52" s="817">
        <f t="shared" si="21"/>
        <v>0</v>
      </c>
      <c r="M52" s="818">
        <f t="shared" si="21"/>
        <v>0</v>
      </c>
    </row>
    <row r="53" spans="1:13">
      <c r="A53" s="357"/>
      <c r="B53" s="85" t="s">
        <v>270</v>
      </c>
      <c r="C53" s="85"/>
      <c r="D53" s="757"/>
      <c r="E53" s="85"/>
      <c r="F53" s="85"/>
      <c r="G53" s="85"/>
      <c r="H53" s="1126"/>
      <c r="I53" s="838">
        <f>$H$53-SUM(O26:O31)</f>
        <v>0</v>
      </c>
      <c r="J53" s="817">
        <f>$H$53-SUM(P26:P31)</f>
        <v>0</v>
      </c>
      <c r="K53" s="817">
        <f>$H$53-SUM(Q26:Q31)</f>
        <v>0</v>
      </c>
      <c r="L53" s="817">
        <f>$H$53-SUM(R26:R31)</f>
        <v>0</v>
      </c>
      <c r="M53" s="818">
        <f>$H$53-SUM(S26:S31)</f>
        <v>0</v>
      </c>
    </row>
    <row r="54" spans="1:13">
      <c r="A54" s="357"/>
      <c r="B54" s="85" t="s">
        <v>289</v>
      </c>
      <c r="C54" s="85"/>
      <c r="D54" s="929"/>
      <c r="E54" s="85"/>
      <c r="F54" s="85"/>
      <c r="G54" s="85"/>
      <c r="H54" s="840"/>
      <c r="I54" s="1127"/>
      <c r="J54" s="1128"/>
      <c r="K54" s="1128"/>
      <c r="L54" s="1128"/>
      <c r="M54" s="1129"/>
    </row>
    <row r="55" spans="1:13">
      <c r="A55" s="357"/>
      <c r="B55" s="85" t="s">
        <v>290</v>
      </c>
      <c r="C55" s="942"/>
      <c r="D55" s="1104"/>
      <c r="E55" s="1130"/>
      <c r="F55" s="1139"/>
      <c r="G55" s="1131"/>
      <c r="H55" s="840"/>
      <c r="I55" s="1127"/>
      <c r="J55" s="1128"/>
      <c r="K55" s="1128"/>
      <c r="L55" s="1128"/>
      <c r="M55" s="1129"/>
    </row>
    <row r="56" spans="1:13">
      <c r="A56" s="357"/>
      <c r="B56" s="85" t="s">
        <v>291</v>
      </c>
      <c r="C56" s="85"/>
      <c r="D56" s="757"/>
      <c r="E56" s="85"/>
      <c r="F56" s="85"/>
      <c r="G56" s="85"/>
      <c r="H56" s="840"/>
      <c r="I56" s="838">
        <f>-(I45-H45)*I48</f>
        <v>0</v>
      </c>
      <c r="J56" s="838">
        <f>-(J45-I45)*J48</f>
        <v>0</v>
      </c>
      <c r="K56" s="838">
        <f t="shared" ref="K56:L56" si="22">-(K45-J45)*K48</f>
        <v>0</v>
      </c>
      <c r="L56" s="838">
        <f t="shared" si="22"/>
        <v>0</v>
      </c>
      <c r="M56" s="818">
        <f>-(M45-L45)*M48</f>
        <v>0</v>
      </c>
    </row>
    <row r="57" spans="1:13">
      <c r="A57" s="357"/>
      <c r="B57" s="85" t="s">
        <v>317</v>
      </c>
      <c r="C57" s="85"/>
      <c r="D57" s="757"/>
      <c r="E57" s="85"/>
      <c r="F57" s="85"/>
      <c r="G57" s="85"/>
      <c r="H57" s="840"/>
      <c r="I57" s="838">
        <f>((I47-H47)-(I46-H46))*'F0b Planungsparameter'!I28</f>
        <v>0</v>
      </c>
      <c r="J57" s="838">
        <f>((J47-I47)-(J46-I46))*'F0b Planungsparameter'!J28</f>
        <v>0</v>
      </c>
      <c r="K57" s="838">
        <f>((K47-J47)-(K46-J46))*'F0b Planungsparameter'!K28</f>
        <v>0</v>
      </c>
      <c r="L57" s="838">
        <f>((L47-K47)-(L46-K46))*'F0b Planungsparameter'!L28</f>
        <v>0</v>
      </c>
      <c r="M57" s="844">
        <f>((M47-L47)-(M46-L46))*'F0b Planungsparameter'!M28</f>
        <v>0</v>
      </c>
    </row>
    <row r="58" spans="1:13">
      <c r="A58" s="819" t="s">
        <v>275</v>
      </c>
      <c r="B58" s="765"/>
      <c r="C58" s="765"/>
      <c r="D58" s="820"/>
      <c r="E58" s="765"/>
      <c r="F58" s="765"/>
      <c r="G58" s="765"/>
      <c r="H58" s="843">
        <f>IF(SUM(H50:H57)&gt;=0,SUM(H50:H57),0)</f>
        <v>0</v>
      </c>
      <c r="I58" s="843">
        <f>IF(SUM(I50:I57)&gt;=0,SUM(I50:I57),0)</f>
        <v>0</v>
      </c>
      <c r="J58" s="843">
        <f t="shared" ref="J58:M58" si="23">IF(SUM(J50:J57)&gt;=0,SUM(J50:J57),0)</f>
        <v>0</v>
      </c>
      <c r="K58" s="843">
        <f t="shared" si="23"/>
        <v>0</v>
      </c>
      <c r="L58" s="843">
        <f>IF(SUM(L50:L57)&gt;=0,SUM(L50:L57),0)</f>
        <v>0</v>
      </c>
      <c r="M58" s="843">
        <f t="shared" si="23"/>
        <v>0</v>
      </c>
    </row>
    <row r="59" spans="1:13">
      <c r="A59" s="819" t="s">
        <v>276</v>
      </c>
      <c r="B59" s="765"/>
      <c r="C59" s="765"/>
      <c r="D59" s="820"/>
      <c r="E59" s="765"/>
      <c r="F59" s="765"/>
      <c r="G59" s="765"/>
      <c r="H59" s="843">
        <f>IF(SUM(H50:H57)&lt;=0,-SUM(H50:H57),0)</f>
        <v>0</v>
      </c>
      <c r="I59" s="843">
        <f t="shared" ref="I59:M59" si="24">IF(SUM(I50:I57)&lt;=0,-SUM(I50:I57),0)</f>
        <v>0</v>
      </c>
      <c r="J59" s="843">
        <f t="shared" si="24"/>
        <v>0</v>
      </c>
      <c r="K59" s="843">
        <f t="shared" si="24"/>
        <v>0</v>
      </c>
      <c r="L59" s="843">
        <f t="shared" si="24"/>
        <v>0</v>
      </c>
      <c r="M59" s="843">
        <f t="shared" si="24"/>
        <v>0</v>
      </c>
    </row>
    <row r="60" spans="1:13">
      <c r="H60" s="199"/>
      <c r="I60" s="199"/>
      <c r="J60" s="199"/>
      <c r="K60" s="199"/>
      <c r="L60" s="199"/>
      <c r="M60" s="199"/>
    </row>
  </sheetData>
  <mergeCells count="3">
    <mergeCell ref="F1:H1"/>
    <mergeCell ref="B8:E8"/>
    <mergeCell ref="B9:E9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Footer>&amp;L&amp;8&amp;K000000© Legrafin                 &amp;D / &amp;T&amp;C&amp;8&amp;K000000Seite  &amp;P&amp;R&amp;8&amp;K000000&amp;F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1200-000000000000}">
          <x14:formula1>
            <xm:f>'Listen für Dropdown'!$A$79:$A$93</xm:f>
          </x14:formula1>
          <xm:sqref>E26:E31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I28"/>
  <sheetViews>
    <sheetView zoomScale="120" zoomScaleNormal="120" zoomScalePageLayoutView="120" workbookViewId="0">
      <selection activeCell="I13" sqref="I13"/>
    </sheetView>
  </sheetViews>
  <sheetFormatPr baseColWidth="10" defaultColWidth="11.42578125" defaultRowHeight="11.25"/>
  <cols>
    <col min="1" max="1" width="0.85546875" style="208" customWidth="1"/>
    <col min="2" max="2" width="1.28515625" style="208" customWidth="1"/>
    <col min="3" max="3" width="6" style="208" customWidth="1"/>
    <col min="4" max="4" width="1.140625" style="208" customWidth="1"/>
    <col min="5" max="5" width="26" style="208" customWidth="1"/>
    <col min="6" max="6" width="1.42578125" style="208" customWidth="1"/>
    <col min="7" max="7" width="11.85546875" style="208" customWidth="1"/>
    <col min="8" max="8" width="1.28515625" style="208" customWidth="1"/>
    <col min="9" max="9" width="26.28515625" style="208" customWidth="1"/>
    <col min="10" max="112" width="2.7109375" style="208" customWidth="1"/>
    <col min="113" max="16384" width="11.42578125" style="208"/>
  </cols>
  <sheetData>
    <row r="1" spans="2:9" ht="12">
      <c r="B1" s="1375" t="str">
        <f>"Aufgaben- und Finanzplan "&amp;TEXT(Budget2,0)&amp;" - "&amp;TEXT(Finz1+4,0)</f>
        <v>Aufgaben- und Finanzplan 2022 - 2027</v>
      </c>
      <c r="C1" s="1375"/>
      <c r="D1" s="1375"/>
      <c r="E1" s="1375"/>
      <c r="F1" s="1375"/>
      <c r="G1" s="1375"/>
      <c r="H1" s="1375"/>
      <c r="I1" s="245" t="str">
        <f>"Gemeinde "&amp;TEXT(Gemeinde,0)</f>
        <v>Gemeinde Menznau</v>
      </c>
    </row>
    <row r="3" spans="2:9" s="36" customFormat="1" ht="12.75">
      <c r="B3" s="1371" t="s">
        <v>329</v>
      </c>
      <c r="C3" s="1372"/>
      <c r="D3" s="1372"/>
      <c r="E3" s="1372"/>
      <c r="F3" s="1372"/>
      <c r="G3" s="1372"/>
      <c r="H3" s="245"/>
    </row>
    <row r="5" spans="2:9" ht="10.5" customHeight="1">
      <c r="B5" s="352"/>
      <c r="C5" s="150"/>
      <c r="D5" s="150"/>
      <c r="E5" s="150"/>
      <c r="F5" s="150"/>
      <c r="G5" s="150"/>
      <c r="H5" s="150"/>
      <c r="I5" s="353"/>
    </row>
    <row r="6" spans="2:9" ht="12" customHeight="1">
      <c r="B6" s="1373" t="s">
        <v>182</v>
      </c>
      <c r="C6" s="1374"/>
      <c r="D6" s="103"/>
      <c r="E6" s="354" t="s">
        <v>183</v>
      </c>
      <c r="F6" s="355" t="s">
        <v>57</v>
      </c>
      <c r="G6" s="356" t="s">
        <v>184</v>
      </c>
      <c r="H6" s="85"/>
      <c r="I6" s="356" t="s">
        <v>186</v>
      </c>
    </row>
    <row r="7" spans="2:9">
      <c r="B7" s="357"/>
      <c r="C7" s="85"/>
      <c r="D7" s="85"/>
      <c r="E7" s="85"/>
      <c r="F7" s="85"/>
      <c r="G7" s="85"/>
      <c r="H7" s="85"/>
      <c r="I7" s="711"/>
    </row>
    <row r="8" spans="2:9">
      <c r="B8" s="357" t="s">
        <v>27</v>
      </c>
      <c r="C8" s="85"/>
      <c r="D8" s="85"/>
      <c r="E8" s="85"/>
      <c r="F8" s="85"/>
      <c r="G8" s="85"/>
      <c r="H8" s="85"/>
      <c r="I8" s="711"/>
    </row>
    <row r="9" spans="2:9">
      <c r="B9" s="357"/>
      <c r="C9" s="85" t="s">
        <v>201</v>
      </c>
      <c r="D9" s="85"/>
      <c r="E9" s="85" t="s">
        <v>185</v>
      </c>
      <c r="F9" s="85"/>
      <c r="G9" s="85" t="s">
        <v>28</v>
      </c>
      <c r="H9" s="85"/>
      <c r="I9" s="845"/>
    </row>
    <row r="10" spans="2:9">
      <c r="B10" s="357"/>
      <c r="C10" s="85"/>
      <c r="D10" s="85"/>
      <c r="E10" s="85"/>
      <c r="F10" s="85"/>
      <c r="G10" s="85"/>
      <c r="H10" s="85"/>
      <c r="I10" s="358"/>
    </row>
    <row r="11" spans="2:9" ht="12.95" customHeight="1">
      <c r="B11" s="5"/>
      <c r="C11" s="1341" t="s">
        <v>379</v>
      </c>
      <c r="E11" s="1342" t="s">
        <v>380</v>
      </c>
      <c r="G11" s="1342" t="s">
        <v>386</v>
      </c>
      <c r="H11" s="2"/>
      <c r="I11" s="952"/>
    </row>
    <row r="12" spans="2:9" ht="12.95" customHeight="1">
      <c r="B12" s="5"/>
      <c r="C12" s="1341" t="s">
        <v>381</v>
      </c>
      <c r="E12" s="1342" t="s">
        <v>28</v>
      </c>
      <c r="G12" s="1342" t="s">
        <v>28</v>
      </c>
      <c r="H12" s="2"/>
      <c r="I12" s="952"/>
    </row>
    <row r="13" spans="2:9" ht="12.95" customHeight="1">
      <c r="B13" s="5"/>
      <c r="C13" s="1341" t="s">
        <v>382</v>
      </c>
      <c r="E13" s="1342" t="s">
        <v>387</v>
      </c>
      <c r="G13" s="1342" t="s">
        <v>388</v>
      </c>
      <c r="H13" s="2"/>
      <c r="I13" s="952"/>
    </row>
    <row r="14" spans="2:9" ht="12.95" customHeight="1">
      <c r="B14" s="5"/>
      <c r="C14" s="1341" t="s">
        <v>383</v>
      </c>
      <c r="E14" s="1342" t="s">
        <v>389</v>
      </c>
      <c r="G14" s="1342" t="s">
        <v>390</v>
      </c>
      <c r="H14" s="2"/>
      <c r="I14" s="952"/>
    </row>
    <row r="15" spans="2:9" ht="12.95" customHeight="1">
      <c r="B15" s="5"/>
      <c r="C15" s="1341" t="s">
        <v>384</v>
      </c>
      <c r="E15" s="1342" t="s">
        <v>391</v>
      </c>
      <c r="G15" s="1342" t="s">
        <v>392</v>
      </c>
      <c r="H15" s="2"/>
      <c r="I15" s="952"/>
    </row>
    <row r="16" spans="2:9" ht="12.95" customHeight="1">
      <c r="B16" s="5"/>
      <c r="C16" s="1341" t="s">
        <v>385</v>
      </c>
      <c r="E16" s="1342" t="s">
        <v>393</v>
      </c>
      <c r="G16" s="1342" t="s">
        <v>377</v>
      </c>
      <c r="H16" s="2"/>
      <c r="I16" s="952"/>
    </row>
    <row r="17" spans="2:9" ht="12.95" customHeight="1">
      <c r="B17" s="5"/>
      <c r="C17" s="1341"/>
      <c r="E17" s="1342"/>
      <c r="G17" s="1342"/>
      <c r="H17" s="2"/>
      <c r="I17" s="952"/>
    </row>
    <row r="18" spans="2:9" ht="12.95" customHeight="1">
      <c r="B18" s="5"/>
      <c r="C18" s="950"/>
      <c r="D18" s="2"/>
      <c r="E18" s="951"/>
      <c r="F18" s="2"/>
      <c r="G18" s="951"/>
      <c r="H18" s="2"/>
      <c r="I18" s="952"/>
    </row>
    <row r="19" spans="2:9" ht="12.95" customHeight="1">
      <c r="B19" s="5"/>
      <c r="C19" s="950"/>
      <c r="D19" s="2"/>
      <c r="E19" s="951"/>
      <c r="F19" s="2"/>
      <c r="G19" s="951"/>
      <c r="H19" s="2"/>
      <c r="I19" s="952"/>
    </row>
    <row r="20" spans="2:9" ht="12.95" customHeight="1">
      <c r="B20" s="5"/>
      <c r="C20" s="950"/>
      <c r="D20" s="2"/>
      <c r="E20" s="951"/>
      <c r="F20" s="2"/>
      <c r="G20" s="951"/>
      <c r="H20" s="2"/>
      <c r="I20" s="952"/>
    </row>
    <row r="21" spans="2:9">
      <c r="B21" s="5"/>
      <c r="C21" s="2"/>
      <c r="D21" s="2"/>
      <c r="E21" s="2"/>
      <c r="F21" s="2"/>
      <c r="G21" s="2"/>
      <c r="H21" s="2"/>
      <c r="I21" s="209"/>
    </row>
    <row r="22" spans="2:9">
      <c r="B22" s="5"/>
      <c r="C22" s="2" t="s">
        <v>278</v>
      </c>
      <c r="D22" s="2"/>
      <c r="E22" s="2"/>
      <c r="F22" s="2"/>
      <c r="G22" s="2"/>
      <c r="H22" s="2"/>
      <c r="I22" s="209"/>
    </row>
    <row r="23" spans="2:9">
      <c r="B23" s="5"/>
      <c r="C23" s="1343" t="s">
        <v>385</v>
      </c>
      <c r="D23" s="2"/>
      <c r="E23" s="85" t="s">
        <v>202</v>
      </c>
      <c r="F23" s="85"/>
      <c r="G23" s="85"/>
      <c r="H23" s="85"/>
      <c r="I23" s="996" t="str">
        <f>IF(C23="","Fehler! Bitte GB Nummer angeben","")</f>
        <v/>
      </c>
    </row>
    <row r="24" spans="2:9">
      <c r="B24" s="5"/>
      <c r="C24" s="1343" t="s">
        <v>385</v>
      </c>
      <c r="D24" s="2"/>
      <c r="E24" s="85" t="s">
        <v>240</v>
      </c>
      <c r="F24" s="85"/>
      <c r="G24" s="85"/>
      <c r="H24" s="85"/>
      <c r="I24" s="996" t="str">
        <f>IF(C24="","Fehler! Bitte GB Nummer angeben","")</f>
        <v/>
      </c>
    </row>
    <row r="25" spans="2:9">
      <c r="B25" s="5"/>
      <c r="C25" s="1343" t="s">
        <v>385</v>
      </c>
      <c r="D25" s="2"/>
      <c r="E25" s="85" t="s">
        <v>203</v>
      </c>
      <c r="F25" s="85"/>
      <c r="G25" s="85"/>
      <c r="H25" s="85"/>
      <c r="I25" s="996" t="str">
        <f>IF(C25="","Fehler! Bitte GB Nummer angeben","")</f>
        <v/>
      </c>
    </row>
    <row r="26" spans="2:9">
      <c r="B26" s="5"/>
      <c r="C26" s="1343" t="s">
        <v>385</v>
      </c>
      <c r="D26" s="2"/>
      <c r="E26" s="85" t="s">
        <v>226</v>
      </c>
      <c r="F26" s="85"/>
      <c r="G26" s="85"/>
      <c r="H26" s="85"/>
      <c r="I26" s="996" t="str">
        <f>IF(C26="","Fehler! Bitte GB Nummer angeben","")</f>
        <v/>
      </c>
    </row>
    <row r="27" spans="2:9">
      <c r="B27" s="5"/>
      <c r="C27" s="2"/>
      <c r="D27" s="2"/>
      <c r="E27" s="85"/>
      <c r="F27" s="85"/>
      <c r="G27" s="85"/>
      <c r="H27" s="85"/>
      <c r="I27" s="358"/>
    </row>
    <row r="28" spans="2:9">
      <c r="B28" s="61"/>
      <c r="C28" s="6"/>
      <c r="D28" s="6"/>
      <c r="E28" s="390"/>
      <c r="F28" s="390"/>
      <c r="G28" s="390"/>
      <c r="H28" s="390"/>
      <c r="I28" s="828"/>
    </row>
  </sheetData>
  <mergeCells count="3">
    <mergeCell ref="B3:G3"/>
    <mergeCell ref="B6:C6"/>
    <mergeCell ref="B1:H1"/>
  </mergeCells>
  <phoneticPr fontId="2" type="noConversion"/>
  <pageMargins left="0.75000000000000011" right="0.75000000000000011" top="0.98" bottom="0.98" header="0.51" footer="0.51"/>
  <pageSetup paperSize="9" orientation="portrait" r:id="rId1"/>
  <headerFooter>
    <oddFooter>&amp;L&amp;8&amp;K000000© Legrafin              &amp;D / &amp;T&amp;C&amp;8&amp;K000000Seite  &amp;P          &amp;R&amp;8&amp;K000000&amp;F</oddFooter>
  </headerFooter>
  <legacyDrawing r:id="rId2"/>
  <extLst>
    <ext xmlns:mx="http://schemas.microsoft.com/office/mac/excel/2008/main" uri="{64002731-A6B0-56B0-2670-7721B7C09600}">
      <mx:PLV Mode="1" OnePage="0" WScale="10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93"/>
  <sheetViews>
    <sheetView workbookViewId="0">
      <selection activeCell="N34" sqref="N34"/>
    </sheetView>
  </sheetViews>
  <sheetFormatPr baseColWidth="10" defaultRowHeight="12.75"/>
  <cols>
    <col min="1" max="2" width="9" customWidth="1"/>
    <col min="3" max="3" width="2.28515625" customWidth="1"/>
  </cols>
  <sheetData>
    <row r="1" spans="1:17">
      <c r="A1" t="s">
        <v>159</v>
      </c>
    </row>
    <row r="3" spans="1:17" ht="15.75">
      <c r="A3">
        <v>30</v>
      </c>
      <c r="C3" s="1504" t="s">
        <v>29</v>
      </c>
      <c r="D3" s="1504"/>
      <c r="E3" s="1504"/>
      <c r="G3" s="1132" t="s">
        <v>287</v>
      </c>
      <c r="H3" s="1132"/>
      <c r="I3" s="1132"/>
      <c r="J3" s="1132"/>
      <c r="K3" s="1132"/>
      <c r="M3" s="586" t="s">
        <v>157</v>
      </c>
      <c r="N3" s="587"/>
      <c r="O3" s="587"/>
      <c r="P3" s="587"/>
      <c r="Q3" s="587"/>
    </row>
    <row r="4" spans="1:17" ht="15.75">
      <c r="A4">
        <v>31</v>
      </c>
      <c r="C4" s="1504" t="s">
        <v>85</v>
      </c>
      <c r="D4" s="1504"/>
      <c r="E4" s="1504"/>
      <c r="G4" s="1133" t="s">
        <v>288</v>
      </c>
      <c r="H4" s="1133"/>
      <c r="I4" s="1133"/>
      <c r="J4" s="1133"/>
      <c r="K4" s="1133"/>
      <c r="M4" s="586"/>
      <c r="N4" s="587"/>
      <c r="O4" s="587"/>
      <c r="P4" s="587"/>
      <c r="Q4" s="587"/>
    </row>
    <row r="5" spans="1:17" ht="15.75">
      <c r="A5">
        <v>33</v>
      </c>
      <c r="C5" s="1504" t="s">
        <v>86</v>
      </c>
      <c r="D5" s="1504"/>
      <c r="E5" s="1504"/>
      <c r="G5" s="1133"/>
      <c r="H5" s="1133"/>
      <c r="I5" s="1133"/>
      <c r="J5" s="1133"/>
      <c r="K5" s="1133"/>
      <c r="M5" s="586" t="s">
        <v>160</v>
      </c>
      <c r="N5" s="587"/>
      <c r="O5" s="587"/>
      <c r="P5" s="587"/>
      <c r="Q5" s="587"/>
    </row>
    <row r="6" spans="1:17">
      <c r="A6">
        <v>34</v>
      </c>
      <c r="C6" s="1504" t="s">
        <v>87</v>
      </c>
      <c r="D6" s="1504"/>
      <c r="E6" s="1504"/>
    </row>
    <row r="7" spans="1:17">
      <c r="A7">
        <v>340</v>
      </c>
      <c r="D7" s="687" t="s">
        <v>360</v>
      </c>
      <c r="E7" s="1266"/>
    </row>
    <row r="8" spans="1:17">
      <c r="A8">
        <v>341</v>
      </c>
      <c r="D8" s="687" t="s">
        <v>227</v>
      </c>
      <c r="E8" s="641"/>
    </row>
    <row r="9" spans="1:17">
      <c r="A9" s="685" t="s">
        <v>206</v>
      </c>
      <c r="D9" s="687" t="s">
        <v>232</v>
      </c>
      <c r="E9" s="641"/>
    </row>
    <row r="10" spans="1:17">
      <c r="A10">
        <v>35</v>
      </c>
      <c r="C10" s="1504" t="s">
        <v>178</v>
      </c>
      <c r="D10" s="1504"/>
      <c r="E10" s="1504"/>
    </row>
    <row r="11" spans="1:17" s="686" customFormat="1">
      <c r="A11" s="686">
        <v>350</v>
      </c>
      <c r="D11" s="687" t="s">
        <v>228</v>
      </c>
      <c r="E11" s="687"/>
    </row>
    <row r="12" spans="1:17" s="686" customFormat="1">
      <c r="A12" s="686">
        <v>3510</v>
      </c>
      <c r="D12" s="687" t="s">
        <v>229</v>
      </c>
      <c r="E12" s="687"/>
    </row>
    <row r="13" spans="1:17" s="686" customFormat="1">
      <c r="A13" s="686">
        <v>3511</v>
      </c>
      <c r="D13" s="687" t="s">
        <v>230</v>
      </c>
      <c r="E13" s="687"/>
    </row>
    <row r="14" spans="1:17">
      <c r="A14" s="686">
        <v>3512</v>
      </c>
      <c r="B14" s="686"/>
      <c r="C14" s="686"/>
      <c r="D14" s="687" t="s">
        <v>293</v>
      </c>
      <c r="E14" s="687"/>
    </row>
    <row r="15" spans="1:17">
      <c r="A15">
        <v>36</v>
      </c>
      <c r="C15" s="934" t="s">
        <v>88</v>
      </c>
      <c r="D15" s="934"/>
      <c r="E15" s="934"/>
    </row>
    <row r="16" spans="1:17">
      <c r="A16">
        <v>362</v>
      </c>
      <c r="C16" s="300"/>
      <c r="D16" s="1181" t="s">
        <v>238</v>
      </c>
      <c r="E16" s="935"/>
    </row>
    <row r="17" spans="1:5">
      <c r="A17">
        <v>366</v>
      </c>
      <c r="C17" s="934"/>
      <c r="D17" s="687" t="s">
        <v>324</v>
      </c>
      <c r="E17" s="934"/>
    </row>
    <row r="18" spans="1:5">
      <c r="A18">
        <v>37</v>
      </c>
      <c r="C18" s="1180" t="s">
        <v>25</v>
      </c>
      <c r="D18" s="934"/>
      <c r="E18" s="934"/>
    </row>
    <row r="19" spans="1:5">
      <c r="A19">
        <v>38</v>
      </c>
      <c r="C19" s="1180" t="s">
        <v>89</v>
      </c>
      <c r="D19" s="934"/>
      <c r="E19" s="934"/>
    </row>
    <row r="20" spans="1:5">
      <c r="A20">
        <v>39</v>
      </c>
      <c r="C20" s="1180" t="s">
        <v>175</v>
      </c>
      <c r="D20" s="935"/>
      <c r="E20" s="935"/>
    </row>
    <row r="21" spans="1:5">
      <c r="A21" s="1196">
        <v>394</v>
      </c>
      <c r="B21" s="1197"/>
      <c r="C21" s="1198"/>
      <c r="D21" s="1199" t="s">
        <v>132</v>
      </c>
      <c r="E21" s="1199"/>
    </row>
    <row r="22" spans="1:5">
      <c r="A22" s="1167"/>
      <c r="C22" s="1168"/>
      <c r="D22" s="1169"/>
      <c r="E22" s="1169"/>
    </row>
    <row r="23" spans="1:5">
      <c r="A23">
        <v>40</v>
      </c>
      <c r="C23" s="1504" t="s">
        <v>90</v>
      </c>
      <c r="D23" s="1504"/>
      <c r="E23" s="1504"/>
    </row>
    <row r="24" spans="1:5">
      <c r="A24">
        <v>400</v>
      </c>
      <c r="D24" s="640" t="s">
        <v>91</v>
      </c>
      <c r="E24" s="640"/>
    </row>
    <row r="25" spans="1:5">
      <c r="A25">
        <v>401</v>
      </c>
      <c r="D25" s="640" t="s">
        <v>92</v>
      </c>
      <c r="E25" s="640"/>
    </row>
    <row r="26" spans="1:5">
      <c r="A26">
        <v>402</v>
      </c>
      <c r="D26" s="640" t="s">
        <v>93</v>
      </c>
      <c r="E26" s="640"/>
    </row>
    <row r="27" spans="1:5">
      <c r="A27">
        <v>403</v>
      </c>
      <c r="C27" s="1505" t="s">
        <v>81</v>
      </c>
      <c r="D27" s="1505"/>
      <c r="E27" s="1505"/>
    </row>
    <row r="28" spans="1:5">
      <c r="A28">
        <v>41</v>
      </c>
      <c r="C28" s="1504" t="s">
        <v>18</v>
      </c>
      <c r="D28" s="1504"/>
      <c r="E28" s="1504"/>
    </row>
    <row r="29" spans="1:5">
      <c r="A29">
        <v>42</v>
      </c>
      <c r="C29" s="1504" t="s">
        <v>19</v>
      </c>
      <c r="D29" s="1504"/>
      <c r="E29" s="1504"/>
    </row>
    <row r="30" spans="1:5">
      <c r="A30">
        <v>43</v>
      </c>
      <c r="C30" s="1504" t="s">
        <v>94</v>
      </c>
      <c r="D30" s="1504"/>
      <c r="E30" s="1504"/>
    </row>
    <row r="31" spans="1:5">
      <c r="A31">
        <v>44</v>
      </c>
      <c r="C31" s="1504" t="s">
        <v>95</v>
      </c>
      <c r="D31" s="1504"/>
      <c r="E31" s="1504"/>
    </row>
    <row r="32" spans="1:5">
      <c r="A32">
        <v>440</v>
      </c>
      <c r="D32" s="1267" t="s">
        <v>359</v>
      </c>
      <c r="E32" s="1267"/>
    </row>
    <row r="33" spans="1:5">
      <c r="A33">
        <v>441</v>
      </c>
      <c r="D33" s="301" t="s">
        <v>231</v>
      </c>
      <c r="E33" s="301"/>
    </row>
    <row r="34" spans="1:5">
      <c r="A34" s="685" t="s">
        <v>207</v>
      </c>
      <c r="D34" s="640" t="s">
        <v>233</v>
      </c>
      <c r="E34" s="640"/>
    </row>
    <row r="35" spans="1:5">
      <c r="A35">
        <v>45</v>
      </c>
      <c r="C35" s="1504" t="s">
        <v>96</v>
      </c>
      <c r="D35" s="1504"/>
      <c r="E35" s="1504"/>
    </row>
    <row r="36" spans="1:5" s="686" customFormat="1">
      <c r="A36" s="686">
        <v>450</v>
      </c>
      <c r="D36" s="687" t="s">
        <v>234</v>
      </c>
      <c r="E36" s="687"/>
    </row>
    <row r="37" spans="1:5" s="686" customFormat="1">
      <c r="A37" s="686">
        <v>4510</v>
      </c>
      <c r="D37" s="687" t="s">
        <v>235</v>
      </c>
      <c r="E37" s="687"/>
    </row>
    <row r="38" spans="1:5" s="686" customFormat="1">
      <c r="A38" s="686">
        <v>4511</v>
      </c>
      <c r="D38" s="687" t="s">
        <v>236</v>
      </c>
      <c r="E38" s="687"/>
    </row>
    <row r="39" spans="1:5">
      <c r="A39">
        <v>4512</v>
      </c>
      <c r="C39" s="686"/>
      <c r="D39" s="687" t="s">
        <v>293</v>
      </c>
      <c r="E39" s="687"/>
    </row>
    <row r="40" spans="1:5">
      <c r="A40">
        <v>46</v>
      </c>
      <c r="C40" s="1504" t="s">
        <v>98</v>
      </c>
      <c r="D40" s="1504"/>
      <c r="E40" s="1504"/>
    </row>
    <row r="41" spans="1:5">
      <c r="A41">
        <v>462</v>
      </c>
      <c r="C41" s="300"/>
      <c r="D41" s="935" t="s">
        <v>238</v>
      </c>
      <c r="E41" s="935"/>
    </row>
    <row r="42" spans="1:5">
      <c r="A42">
        <v>47</v>
      </c>
      <c r="C42" s="934" t="s">
        <v>25</v>
      </c>
      <c r="D42" s="934"/>
      <c r="E42" s="934"/>
    </row>
    <row r="43" spans="1:5">
      <c r="A43">
        <v>48</v>
      </c>
      <c r="C43" s="934" t="s">
        <v>97</v>
      </c>
      <c r="D43" s="934"/>
      <c r="E43" s="934"/>
    </row>
    <row r="44" spans="1:5">
      <c r="A44">
        <v>49</v>
      </c>
      <c r="C44" s="934" t="s">
        <v>80</v>
      </c>
      <c r="D44" s="934"/>
      <c r="E44" s="934"/>
    </row>
    <row r="45" spans="1:5">
      <c r="A45">
        <v>494</v>
      </c>
      <c r="C45" s="300"/>
      <c r="D45" s="935" t="s">
        <v>237</v>
      </c>
      <c r="E45" s="935"/>
    </row>
    <row r="46" spans="1:5">
      <c r="A46" s="1167"/>
      <c r="C46" s="1168"/>
      <c r="D46" s="1169"/>
      <c r="E46" s="1169"/>
    </row>
    <row r="47" spans="1:5">
      <c r="A47" s="1167"/>
      <c r="C47" s="1168"/>
      <c r="D47" s="1169"/>
      <c r="E47" s="1169"/>
    </row>
    <row r="48" spans="1:5">
      <c r="C48" s="300"/>
      <c r="D48" s="935"/>
      <c r="E48" s="935"/>
    </row>
    <row r="49" spans="1:5">
      <c r="C49" s="300"/>
      <c r="D49" s="935"/>
      <c r="E49" s="935"/>
    </row>
    <row r="50" spans="1:5">
      <c r="C50" s="300"/>
      <c r="D50" s="935"/>
      <c r="E50" s="935"/>
    </row>
    <row r="51" spans="1:5">
      <c r="C51" s="302"/>
      <c r="D51" s="302"/>
      <c r="E51" s="302"/>
    </row>
    <row r="55" spans="1:5">
      <c r="A55" t="s">
        <v>191</v>
      </c>
    </row>
    <row r="56" spans="1:5">
      <c r="A56">
        <v>50</v>
      </c>
      <c r="C56" t="s">
        <v>108</v>
      </c>
    </row>
    <row r="57" spans="1:5">
      <c r="A57">
        <v>51</v>
      </c>
      <c r="C57" t="s">
        <v>167</v>
      </c>
    </row>
    <row r="58" spans="1:5">
      <c r="A58">
        <v>52</v>
      </c>
      <c r="C58" t="s">
        <v>109</v>
      </c>
    </row>
    <row r="59" spans="1:5">
      <c r="A59">
        <v>54</v>
      </c>
      <c r="C59" t="s">
        <v>110</v>
      </c>
    </row>
    <row r="60" spans="1:5">
      <c r="A60">
        <v>55</v>
      </c>
      <c r="C60" t="s">
        <v>131</v>
      </c>
    </row>
    <row r="61" spans="1:5">
      <c r="A61">
        <v>56</v>
      </c>
      <c r="C61" t="s">
        <v>168</v>
      </c>
    </row>
    <row r="62" spans="1:5">
      <c r="A62" s="1167"/>
      <c r="C62" s="1167"/>
      <c r="D62" s="1167"/>
      <c r="E62" s="1167"/>
    </row>
    <row r="63" spans="1:5">
      <c r="A63" s="1167"/>
      <c r="C63" s="1167"/>
      <c r="D63" s="1167"/>
      <c r="E63" s="1167"/>
    </row>
    <row r="64" spans="1:5">
      <c r="A64" s="1167"/>
      <c r="C64" s="1167"/>
      <c r="D64" s="1167"/>
      <c r="E64" s="1167"/>
    </row>
    <row r="65" spans="1:5">
      <c r="A65">
        <v>60</v>
      </c>
      <c r="C65" t="s">
        <v>134</v>
      </c>
    </row>
    <row r="66" spans="1:5">
      <c r="A66">
        <v>61</v>
      </c>
      <c r="C66" t="s">
        <v>133</v>
      </c>
    </row>
    <row r="67" spans="1:5">
      <c r="A67">
        <v>62</v>
      </c>
      <c r="C67" t="s">
        <v>169</v>
      </c>
    </row>
    <row r="68" spans="1:5">
      <c r="A68">
        <v>63</v>
      </c>
      <c r="C68" t="s">
        <v>170</v>
      </c>
    </row>
    <row r="69" spans="1:5">
      <c r="A69">
        <v>64</v>
      </c>
      <c r="C69" t="s">
        <v>171</v>
      </c>
    </row>
    <row r="70" spans="1:5">
      <c r="A70">
        <v>65</v>
      </c>
      <c r="C70" t="s">
        <v>172</v>
      </c>
    </row>
    <row r="71" spans="1:5">
      <c r="A71">
        <v>66</v>
      </c>
      <c r="C71" t="s">
        <v>173</v>
      </c>
    </row>
    <row r="72" spans="1:5">
      <c r="A72" s="1167"/>
      <c r="C72" s="1167"/>
      <c r="D72" s="1167"/>
      <c r="E72" s="1167"/>
    </row>
    <row r="73" spans="1:5">
      <c r="A73" s="1167"/>
      <c r="C73" s="1167"/>
      <c r="D73" s="1167"/>
      <c r="E73" s="1167"/>
    </row>
    <row r="74" spans="1:5">
      <c r="A74" s="1167"/>
      <c r="C74" s="1167"/>
      <c r="D74" s="1167"/>
      <c r="E74" s="1167"/>
    </row>
    <row r="78" spans="1:5">
      <c r="A78" t="s">
        <v>189</v>
      </c>
    </row>
    <row r="79" spans="1:5">
      <c r="A79" s="1167"/>
      <c r="C79" t="s">
        <v>190</v>
      </c>
    </row>
    <row r="80" spans="1:5">
      <c r="A80">
        <v>0</v>
      </c>
    </row>
    <row r="81" spans="1:1">
      <c r="A81">
        <v>4</v>
      </c>
    </row>
    <row r="82" spans="1:1">
      <c r="A82">
        <v>8</v>
      </c>
    </row>
    <row r="83" spans="1:1">
      <c r="A83">
        <v>10</v>
      </c>
    </row>
    <row r="84" spans="1:1">
      <c r="A84">
        <v>15</v>
      </c>
    </row>
    <row r="85" spans="1:1">
      <c r="A85">
        <v>20</v>
      </c>
    </row>
    <row r="86" spans="1:1">
      <c r="A86">
        <v>22</v>
      </c>
    </row>
    <row r="87" spans="1:1">
      <c r="A87">
        <v>25</v>
      </c>
    </row>
    <row r="88" spans="1:1">
      <c r="A88">
        <v>30</v>
      </c>
    </row>
    <row r="89" spans="1:1">
      <c r="A89">
        <v>33</v>
      </c>
    </row>
    <row r="90" spans="1:1">
      <c r="A90">
        <v>40</v>
      </c>
    </row>
    <row r="91" spans="1:1">
      <c r="A91">
        <v>50</v>
      </c>
    </row>
    <row r="92" spans="1:1">
      <c r="A92" s="1167"/>
    </row>
    <row r="93" spans="1:1">
      <c r="A93" s="1167"/>
    </row>
  </sheetData>
  <sheetProtection sheet="1" objects="1" scenarios="1"/>
  <mergeCells count="13">
    <mergeCell ref="C3:E3"/>
    <mergeCell ref="C4:E4"/>
    <mergeCell ref="C5:E5"/>
    <mergeCell ref="C6:E6"/>
    <mergeCell ref="C10:E10"/>
    <mergeCell ref="C31:E31"/>
    <mergeCell ref="C35:E35"/>
    <mergeCell ref="C40:E40"/>
    <mergeCell ref="C23:E23"/>
    <mergeCell ref="C27:E27"/>
    <mergeCell ref="C28:E28"/>
    <mergeCell ref="C29:E29"/>
    <mergeCell ref="C30:E30"/>
  </mergeCells>
  <pageMargins left="0.75" right="0.75" top="1" bottom="1" header="0.5" footer="0.5"/>
  <pageSetup paperSize="9" orientation="portrait" horizontalDpi="4294967292" verticalDpi="4294967292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66"/>
  <sheetViews>
    <sheetView topLeftCell="A16" zoomScale="120" zoomScaleNormal="120" zoomScalePageLayoutView="120" workbookViewId="0">
      <selection activeCell="I63" sqref="I63"/>
    </sheetView>
  </sheetViews>
  <sheetFormatPr baseColWidth="10" defaultColWidth="11.42578125" defaultRowHeight="11.25"/>
  <cols>
    <col min="1" max="1" width="0.85546875" style="1" customWidth="1"/>
    <col min="2" max="2" width="3.42578125" style="1" customWidth="1"/>
    <col min="3" max="3" width="1.28515625" style="1" customWidth="1"/>
    <col min="4" max="4" width="8.140625" style="1" customWidth="1"/>
    <col min="5" max="5" width="11.28515625" style="1" customWidth="1"/>
    <col min="6" max="6" width="12.42578125" style="1" customWidth="1"/>
    <col min="7" max="13" width="7" style="1" customWidth="1"/>
    <col min="14" max="18" width="2.7109375" style="1" customWidth="1"/>
    <col min="19" max="19" width="6" style="1" customWidth="1"/>
    <col min="20" max="20" width="5.140625" style="1" customWidth="1"/>
    <col min="21" max="125" width="2.7109375" style="1" customWidth="1"/>
    <col min="126" max="16384" width="11.42578125" style="1"/>
  </cols>
  <sheetData>
    <row r="1" spans="2:13" s="36" customFormat="1" ht="12">
      <c r="B1" s="1375" t="str">
        <f>"Aufgaben- und Finanzplan "&amp;TEXT(Budget2,0)&amp;" - "&amp;TEXT(Finz1+4,0)</f>
        <v>Aufgaben- und Finanzplan 2022 - 2027</v>
      </c>
      <c r="C1" s="1375"/>
      <c r="D1" s="1375"/>
      <c r="E1" s="1375"/>
      <c r="F1" s="1375"/>
      <c r="G1" s="1375"/>
      <c r="H1" s="1375"/>
      <c r="I1" s="37"/>
      <c r="K1" s="245"/>
      <c r="L1" s="245"/>
      <c r="M1" s="245" t="str">
        <f>"Gemeinde "&amp;TEXT(Gemeinde,0)</f>
        <v>Gemeinde Menznau</v>
      </c>
    </row>
    <row r="3" spans="2:13" s="14" customFormat="1" ht="12.75">
      <c r="B3" s="1371" t="s">
        <v>279</v>
      </c>
      <c r="C3" s="1372"/>
      <c r="D3" s="1372"/>
      <c r="E3" s="1372"/>
      <c r="F3" s="1372"/>
      <c r="G3" s="1372"/>
      <c r="H3" s="1372"/>
      <c r="I3" s="1372"/>
      <c r="J3" s="1372"/>
      <c r="K3" s="1372"/>
      <c r="L3" s="1372"/>
      <c r="M3" s="1372"/>
    </row>
    <row r="4" spans="2:13">
      <c r="K4" s="2"/>
      <c r="L4" s="2"/>
      <c r="M4" s="2"/>
    </row>
    <row r="5" spans="2:13" ht="10.5" customHeight="1">
      <c r="B5" s="60"/>
      <c r="C5" s="3"/>
      <c r="D5" s="3"/>
      <c r="E5" s="3"/>
      <c r="F5" s="3"/>
      <c r="G5" s="3"/>
      <c r="H5" s="3"/>
      <c r="I5" s="3"/>
      <c r="J5" s="3"/>
      <c r="K5" s="3"/>
      <c r="L5" s="3"/>
      <c r="M5" s="4"/>
    </row>
    <row r="6" spans="2:13" ht="12" customHeight="1">
      <c r="B6" s="5"/>
      <c r="C6" s="1387" t="s">
        <v>20</v>
      </c>
      <c r="D6" s="1388"/>
      <c r="E6" s="1389" t="s">
        <v>394</v>
      </c>
      <c r="F6" s="1390"/>
      <c r="G6" s="29" t="s">
        <v>57</v>
      </c>
      <c r="H6" s="2"/>
      <c r="I6" s="2" t="s">
        <v>68</v>
      </c>
      <c r="J6" s="2"/>
      <c r="K6" s="2"/>
      <c r="L6" s="2"/>
      <c r="M6" s="952">
        <v>2023</v>
      </c>
    </row>
    <row r="7" spans="2:13" ht="12" customHeight="1">
      <c r="B7" s="5"/>
      <c r="C7" s="2"/>
      <c r="D7" s="2"/>
      <c r="E7" s="311"/>
      <c r="F7" s="311"/>
      <c r="G7" s="31"/>
      <c r="H7" s="2"/>
      <c r="I7" s="2"/>
      <c r="J7" s="2"/>
      <c r="K7" s="2"/>
      <c r="L7" s="2"/>
      <c r="M7" s="209"/>
    </row>
    <row r="8" spans="2:13" ht="12" customHeight="1">
      <c r="B8" s="5"/>
      <c r="C8" s="1387" t="s">
        <v>31</v>
      </c>
      <c r="D8" s="1388"/>
      <c r="E8" s="1389" t="s">
        <v>378</v>
      </c>
      <c r="F8" s="1390"/>
      <c r="G8" s="29"/>
      <c r="H8" s="2"/>
      <c r="I8" s="2" t="str">
        <f>IF(G10="Ja","Letzte Rechnung","")</f>
        <v>Letzte Rechnung</v>
      </c>
      <c r="J8" s="2"/>
      <c r="K8" s="2"/>
      <c r="L8" s="2"/>
      <c r="M8" s="209">
        <f>IF(G10="Ja",Finz1-3,"")</f>
        <v>2020</v>
      </c>
    </row>
    <row r="9" spans="2:13" ht="12" customHeight="1">
      <c r="B9" s="5"/>
      <c r="C9" s="2"/>
      <c r="D9" s="2"/>
      <c r="E9" s="2"/>
      <c r="F9" s="2"/>
      <c r="G9" s="29"/>
      <c r="H9" s="2"/>
      <c r="I9" s="2" t="str">
        <f>IF(G10="Ja","Aktuelles Budget","Letzte Rechnung")</f>
        <v>Aktuelles Budget</v>
      </c>
      <c r="J9" s="2"/>
      <c r="K9" s="2"/>
      <c r="L9" s="2"/>
      <c r="M9" s="209">
        <f>Finz1-2</f>
        <v>2021</v>
      </c>
    </row>
    <row r="10" spans="2:13" ht="12" customHeight="1">
      <c r="B10" s="5"/>
      <c r="C10" s="2" t="s">
        <v>366</v>
      </c>
      <c r="D10" s="2"/>
      <c r="E10" s="2"/>
      <c r="F10" s="2"/>
      <c r="G10" s="1278" t="s">
        <v>367</v>
      </c>
      <c r="H10" s="2"/>
      <c r="I10" s="2" t="str">
        <f>IF(G10="Ja","Geplantes neues Budget","Aktuelles Budget")</f>
        <v>Geplantes neues Budget</v>
      </c>
      <c r="J10" s="2"/>
      <c r="K10" s="2"/>
      <c r="L10" s="2"/>
      <c r="M10" s="209">
        <f>Finz1-1</f>
        <v>2022</v>
      </c>
    </row>
    <row r="11" spans="2:13" ht="12" customHeight="1">
      <c r="B11" s="61"/>
      <c r="C11" s="6"/>
      <c r="D11" s="6"/>
      <c r="E11" s="6"/>
      <c r="F11" s="6"/>
      <c r="G11" s="6"/>
      <c r="H11" s="6"/>
      <c r="I11" s="6"/>
      <c r="J11" s="6"/>
      <c r="K11" s="6"/>
      <c r="L11" s="6"/>
      <c r="M11" s="7"/>
    </row>
    <row r="12" spans="2:13" s="208" customFormat="1" ht="12" customHeight="1">
      <c r="B12" s="60"/>
      <c r="C12" s="3"/>
      <c r="D12" s="3"/>
      <c r="E12" s="3"/>
      <c r="F12" s="3"/>
      <c r="G12" s="3"/>
      <c r="H12" s="3"/>
      <c r="I12" s="3"/>
      <c r="J12" s="3"/>
      <c r="K12" s="3"/>
      <c r="L12" s="3"/>
      <c r="M12" s="4"/>
    </row>
    <row r="13" spans="2:13" ht="12" customHeight="1">
      <c r="B13" s="5"/>
      <c r="C13" s="1387" t="s">
        <v>79</v>
      </c>
      <c r="D13" s="1391"/>
      <c r="E13" s="1391"/>
      <c r="F13" s="1391"/>
      <c r="G13" s="2"/>
      <c r="H13" s="2"/>
      <c r="I13" s="1387" t="s">
        <v>6</v>
      </c>
      <c r="J13" s="1391"/>
      <c r="K13" s="1391"/>
      <c r="L13" s="1391"/>
      <c r="M13" s="299"/>
    </row>
    <row r="14" spans="2:13" ht="12" customHeight="1">
      <c r="B14" s="5"/>
      <c r="C14" s="1387" t="str">
        <f>"Ende Rechnungsjahr "&amp;(Budget1-1)</f>
        <v>Ende Rechnungsjahr 2020</v>
      </c>
      <c r="D14" s="1391"/>
      <c r="E14" s="1391"/>
      <c r="F14" s="1392"/>
      <c r="G14" s="953">
        <v>2966</v>
      </c>
      <c r="H14" s="2"/>
      <c r="I14" s="1387" t="str">
        <f>"pro Einwohner Ende "&amp;(Budget1-1)&amp;" inkl. Spezfin"</f>
        <v>pro Einwohner Ende 2020 inkl. Spezfin</v>
      </c>
      <c r="J14" s="1391"/>
      <c r="K14" s="1391"/>
      <c r="L14" s="1392"/>
      <c r="M14" s="953">
        <v>435</v>
      </c>
    </row>
    <row r="15" spans="2:13" s="208" customFormat="1" ht="12" customHeight="1">
      <c r="B15" s="5"/>
      <c r="C15" s="1289"/>
      <c r="D15" s="1299"/>
      <c r="E15" s="1299"/>
      <c r="F15" s="1299"/>
      <c r="G15" s="1299"/>
      <c r="H15" s="1300"/>
      <c r="I15" s="1394" t="s">
        <v>376</v>
      </c>
      <c r="J15" s="1395"/>
      <c r="K15" s="1395"/>
      <c r="L15" s="1396"/>
      <c r="M15" s="988">
        <v>1225</v>
      </c>
    </row>
    <row r="16" spans="2:13">
      <c r="B16" s="61"/>
      <c r="C16" s="6"/>
      <c r="D16" s="6"/>
      <c r="E16" s="6"/>
      <c r="F16" s="6"/>
      <c r="G16" s="6"/>
      <c r="H16" s="6"/>
      <c r="I16" s="6"/>
      <c r="J16" s="6"/>
      <c r="K16" s="6"/>
      <c r="L16" s="6"/>
      <c r="M16" s="7"/>
    </row>
    <row r="17" spans="1:20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20">
      <c r="K18" s="2"/>
      <c r="L18" s="2"/>
      <c r="M18" s="2"/>
    </row>
    <row r="19" spans="1:20" s="14" customFormat="1" ht="15" customHeight="1">
      <c r="B19" s="1400" t="s">
        <v>55</v>
      </c>
      <c r="C19" s="1377"/>
      <c r="D19" s="1377"/>
      <c r="E19" s="1377"/>
      <c r="F19" s="1378"/>
      <c r="G19" s="314" t="str">
        <f>IF(G10="Ja","Budget","Rechng")</f>
        <v>Budget</v>
      </c>
      <c r="H19" s="847" t="s">
        <v>32</v>
      </c>
      <c r="I19" s="846" t="s">
        <v>26</v>
      </c>
      <c r="J19" s="74"/>
      <c r="K19" s="74"/>
      <c r="L19" s="257"/>
      <c r="M19" s="258"/>
    </row>
    <row r="20" spans="1:20" s="14" customFormat="1" ht="15" customHeight="1">
      <c r="B20" s="1379"/>
      <c r="C20" s="1380"/>
      <c r="D20" s="1380"/>
      <c r="E20" s="1380"/>
      <c r="F20" s="1381"/>
      <c r="G20" s="64">
        <f>Budget1</f>
        <v>2021</v>
      </c>
      <c r="H20" s="67">
        <f>Budget2</f>
        <v>2022</v>
      </c>
      <c r="I20" s="65">
        <f>Finz1</f>
        <v>2023</v>
      </c>
      <c r="J20" s="66">
        <f>Finz1+1</f>
        <v>2024</v>
      </c>
      <c r="K20" s="66">
        <f>Finz1+2</f>
        <v>2025</v>
      </c>
      <c r="L20" s="66">
        <f>Finz1+3</f>
        <v>2026</v>
      </c>
      <c r="M20" s="67">
        <f>Finz1+4</f>
        <v>2027</v>
      </c>
    </row>
    <row r="21" spans="1:20" ht="15" customHeight="1">
      <c r="A21" s="2"/>
      <c r="B21" s="1386" t="s">
        <v>135</v>
      </c>
      <c r="C21" s="1377"/>
      <c r="D21" s="1377"/>
      <c r="E21" s="1377"/>
      <c r="F21" s="1378"/>
      <c r="G21" s="9"/>
      <c r="H21" s="848"/>
      <c r="I21" s="954">
        <v>5.0000000000000001E-3</v>
      </c>
      <c r="J21" s="955">
        <v>5.0000000000000001E-3</v>
      </c>
      <c r="K21" s="955">
        <v>5.0000000000000001E-3</v>
      </c>
      <c r="L21" s="955">
        <v>5.0000000000000001E-3</v>
      </c>
      <c r="M21" s="956">
        <v>5.0000000000000001E-3</v>
      </c>
    </row>
    <row r="22" spans="1:20" s="208" customFormat="1" ht="15" customHeight="1">
      <c r="A22" s="2"/>
      <c r="B22" s="1393" t="s">
        <v>136</v>
      </c>
      <c r="C22" s="1391"/>
      <c r="D22" s="1391"/>
      <c r="E22" s="1391"/>
      <c r="F22" s="1392"/>
      <c r="G22" s="10"/>
      <c r="H22" s="849"/>
      <c r="I22" s="957">
        <v>5.0000000000000001E-3</v>
      </c>
      <c r="J22" s="958">
        <v>0</v>
      </c>
      <c r="K22" s="958">
        <v>5.0000000000000001E-3</v>
      </c>
      <c r="L22" s="958">
        <v>0</v>
      </c>
      <c r="M22" s="959">
        <v>5.0000000000000001E-3</v>
      </c>
    </row>
    <row r="23" spans="1:20" s="208" customFormat="1" ht="15" customHeight="1">
      <c r="A23" s="2"/>
      <c r="B23" s="1393" t="s">
        <v>138</v>
      </c>
      <c r="C23" s="1391"/>
      <c r="D23" s="1391"/>
      <c r="E23" s="1391"/>
      <c r="F23" s="1392"/>
      <c r="G23" s="10"/>
      <c r="H23" s="849"/>
      <c r="I23" s="957">
        <v>5.0000000000000001E-3</v>
      </c>
      <c r="J23" s="958">
        <v>5.0000000000000001E-3</v>
      </c>
      <c r="K23" s="958">
        <v>5.0000000000000001E-3</v>
      </c>
      <c r="L23" s="958">
        <v>5.0000000000000001E-3</v>
      </c>
      <c r="M23" s="959">
        <v>5.0000000000000001E-3</v>
      </c>
    </row>
    <row r="24" spans="1:20" s="208" customFormat="1" ht="15" customHeight="1">
      <c r="A24" s="2"/>
      <c r="B24" s="1393" t="s">
        <v>137</v>
      </c>
      <c r="C24" s="1391"/>
      <c r="D24" s="1391"/>
      <c r="E24" s="1391"/>
      <c r="F24" s="1392"/>
      <c r="G24" s="10"/>
      <c r="H24" s="849"/>
      <c r="I24" s="957">
        <v>0.01</v>
      </c>
      <c r="J24" s="958">
        <v>0.01</v>
      </c>
      <c r="K24" s="958">
        <v>0.01</v>
      </c>
      <c r="L24" s="958">
        <v>0.01</v>
      </c>
      <c r="M24" s="959">
        <v>0.01</v>
      </c>
    </row>
    <row r="25" spans="1:20" s="208" customFormat="1" ht="15" customHeight="1">
      <c r="A25" s="2"/>
      <c r="B25" s="1382" t="s">
        <v>277</v>
      </c>
      <c r="C25" s="1380"/>
      <c r="D25" s="1380"/>
      <c r="E25" s="1380"/>
      <c r="F25" s="1381"/>
      <c r="G25" s="268"/>
      <c r="H25" s="850"/>
      <c r="I25" s="960">
        <v>5.0000000000000001E-3</v>
      </c>
      <c r="J25" s="961">
        <v>0</v>
      </c>
      <c r="K25" s="961">
        <v>5.0000000000000001E-3</v>
      </c>
      <c r="L25" s="961">
        <v>0</v>
      </c>
      <c r="M25" s="962">
        <v>5.0000000000000001E-3</v>
      </c>
    </row>
    <row r="26" spans="1:20" s="208" customFormat="1" ht="15" customHeight="1">
      <c r="T26" s="39"/>
    </row>
    <row r="27" spans="1:20" ht="15" customHeight="1">
      <c r="A27" s="2"/>
      <c r="B27" s="1397" t="s">
        <v>30</v>
      </c>
      <c r="C27" s="1398"/>
      <c r="D27" s="1398"/>
      <c r="E27" s="1398"/>
      <c r="F27" s="1399"/>
      <c r="G27" s="263"/>
      <c r="H27" s="963">
        <v>2.5000000000000001E-3</v>
      </c>
      <c r="I27" s="964">
        <v>2.5000000000000001E-3</v>
      </c>
      <c r="J27" s="965">
        <v>5.0000000000000001E-3</v>
      </c>
      <c r="K27" s="965">
        <v>5.0000000000000001E-3</v>
      </c>
      <c r="L27" s="965">
        <v>5.0000000000000001E-3</v>
      </c>
      <c r="M27" s="966">
        <v>5.0000000000000001E-3</v>
      </c>
    </row>
    <row r="28" spans="1:20" s="208" customFormat="1" ht="15" customHeight="1">
      <c r="A28" s="2"/>
      <c r="B28" s="1397" t="s">
        <v>355</v>
      </c>
      <c r="C28" s="1398"/>
      <c r="D28" s="1398"/>
      <c r="E28" s="1398"/>
      <c r="F28" s="1399"/>
      <c r="G28" s="263"/>
      <c r="H28" s="963">
        <v>0.02</v>
      </c>
      <c r="I28" s="964">
        <v>0.02</v>
      </c>
      <c r="J28" s="965">
        <v>0.02</v>
      </c>
      <c r="K28" s="965">
        <v>0.02</v>
      </c>
      <c r="L28" s="965">
        <v>0.02</v>
      </c>
      <c r="M28" s="966">
        <v>0.02</v>
      </c>
    </row>
    <row r="29" spans="1:20" s="208" customFormat="1" ht="15" customHeight="1">
      <c r="A29" s="2"/>
      <c r="B29" s="1397" t="s">
        <v>356</v>
      </c>
      <c r="C29" s="1398"/>
      <c r="D29" s="1398"/>
      <c r="E29" s="1398"/>
      <c r="F29" s="1399"/>
      <c r="G29" s="263"/>
      <c r="H29" s="963">
        <v>7.4999999999999997E-3</v>
      </c>
      <c r="I29" s="964">
        <v>7.4999999999999997E-3</v>
      </c>
      <c r="J29" s="965">
        <v>7.4999999999999997E-3</v>
      </c>
      <c r="K29" s="965">
        <v>7.4999999999999997E-3</v>
      </c>
      <c r="L29" s="965">
        <v>7.4999999999999997E-3</v>
      </c>
      <c r="M29" s="966">
        <v>7.4999999999999997E-3</v>
      </c>
    </row>
    <row r="30" spans="1:20">
      <c r="A30" s="2"/>
      <c r="E30" s="2"/>
      <c r="G30" s="52"/>
    </row>
    <row r="32" spans="1:20" ht="12.75">
      <c r="B32" s="1376" t="s">
        <v>144</v>
      </c>
      <c r="C32" s="1377"/>
      <c r="D32" s="1377"/>
      <c r="E32" s="1377"/>
      <c r="F32" s="1378"/>
      <c r="G32" s="314" t="str">
        <f>IF(G10="Ja","Budget","Rechng")</f>
        <v>Budget</v>
      </c>
      <c r="H32" s="847" t="s">
        <v>32</v>
      </c>
      <c r="I32" s="846" t="s">
        <v>26</v>
      </c>
      <c r="J32" s="257"/>
      <c r="K32" s="257"/>
      <c r="L32" s="257"/>
      <c r="M32" s="258"/>
    </row>
    <row r="33" spans="2:13">
      <c r="B33" s="1379"/>
      <c r="C33" s="1380"/>
      <c r="D33" s="1380"/>
      <c r="E33" s="1380"/>
      <c r="F33" s="1381"/>
      <c r="G33" s="64">
        <f>Budget1</f>
        <v>2021</v>
      </c>
      <c r="H33" s="67">
        <f>Budget2</f>
        <v>2022</v>
      </c>
      <c r="I33" s="65">
        <f>Finz1</f>
        <v>2023</v>
      </c>
      <c r="J33" s="66">
        <f>Finz1+1</f>
        <v>2024</v>
      </c>
      <c r="K33" s="66">
        <f>Finz1+2</f>
        <v>2025</v>
      </c>
      <c r="L33" s="66">
        <f>Finz1+3</f>
        <v>2026</v>
      </c>
      <c r="M33" s="67">
        <f>Finz1+4</f>
        <v>2027</v>
      </c>
    </row>
    <row r="34" spans="2:13" ht="12.75">
      <c r="B34" s="1383" t="s">
        <v>295</v>
      </c>
      <c r="C34" s="1384"/>
      <c r="D34" s="1384"/>
      <c r="E34" s="1384"/>
      <c r="F34" s="1385"/>
      <c r="G34" s="967">
        <v>2.1</v>
      </c>
      <c r="H34" s="968">
        <v>1.95</v>
      </c>
      <c r="I34" s="969">
        <v>1.95</v>
      </c>
      <c r="J34" s="970">
        <v>1.95</v>
      </c>
      <c r="K34" s="970">
        <v>1.95</v>
      </c>
      <c r="L34" s="970">
        <v>1.95</v>
      </c>
      <c r="M34" s="971">
        <v>1.95</v>
      </c>
    </row>
    <row r="35" spans="2:13" ht="12.75">
      <c r="B35" s="1386" t="s">
        <v>4</v>
      </c>
      <c r="C35" s="1377"/>
      <c r="D35" s="1377"/>
      <c r="E35" s="1377"/>
      <c r="F35" s="1378"/>
      <c r="G35" s="972">
        <v>0.01</v>
      </c>
      <c r="H35" s="973">
        <v>0.01</v>
      </c>
      <c r="I35" s="954">
        <v>0.01</v>
      </c>
      <c r="J35" s="955">
        <v>0.01</v>
      </c>
      <c r="K35" s="955">
        <v>0.01</v>
      </c>
      <c r="L35" s="955">
        <v>0.01</v>
      </c>
      <c r="M35" s="956">
        <v>0.01</v>
      </c>
    </row>
    <row r="36" spans="2:13" ht="12.75">
      <c r="B36" s="1382" t="s">
        <v>15</v>
      </c>
      <c r="C36" s="1380"/>
      <c r="D36" s="1380"/>
      <c r="E36" s="1380"/>
      <c r="F36" s="1381"/>
      <c r="G36" s="264">
        <f>G14*(1+G35)</f>
        <v>2995.66</v>
      </c>
      <c r="H36" s="851">
        <f>G36*(1+H35)</f>
        <v>3025.6165999999998</v>
      </c>
      <c r="I36" s="265">
        <f t="shared" ref="I36:M36" si="0">H36*(1+I35)</f>
        <v>3055.872766</v>
      </c>
      <c r="J36" s="266">
        <f t="shared" si="0"/>
        <v>3086.4314936599999</v>
      </c>
      <c r="K36" s="266">
        <f t="shared" si="0"/>
        <v>3117.2958085965997</v>
      </c>
      <c r="L36" s="266">
        <f t="shared" si="0"/>
        <v>3148.4687666825657</v>
      </c>
      <c r="M36" s="267">
        <f t="shared" si="0"/>
        <v>3179.9534543493914</v>
      </c>
    </row>
    <row r="37" spans="2:13" ht="12.75">
      <c r="B37" s="1386" t="s">
        <v>139</v>
      </c>
      <c r="C37" s="1377"/>
      <c r="D37" s="1377"/>
      <c r="E37" s="1377"/>
      <c r="F37" s="1378"/>
      <c r="G37" s="269"/>
      <c r="H37" s="848"/>
      <c r="I37" s="954">
        <v>0.02</v>
      </c>
      <c r="J37" s="955">
        <v>0.01</v>
      </c>
      <c r="K37" s="955">
        <v>0.02</v>
      </c>
      <c r="L37" s="955">
        <v>0.01</v>
      </c>
      <c r="M37" s="956">
        <v>0.02</v>
      </c>
    </row>
    <row r="38" spans="2:13" s="208" customFormat="1" ht="12.75">
      <c r="B38" s="1382" t="s">
        <v>280</v>
      </c>
      <c r="C38" s="1380"/>
      <c r="D38" s="1380"/>
      <c r="E38" s="1380"/>
      <c r="F38" s="1381"/>
      <c r="G38" s="157"/>
      <c r="H38" s="850"/>
      <c r="I38" s="960">
        <v>0.01</v>
      </c>
      <c r="J38" s="961">
        <v>0.02</v>
      </c>
      <c r="K38" s="961">
        <v>0.01</v>
      </c>
      <c r="L38" s="961">
        <v>0.02</v>
      </c>
      <c r="M38" s="962">
        <v>0.01</v>
      </c>
    </row>
    <row r="41" spans="2:13" s="208" customFormat="1" ht="12.75">
      <c r="B41" s="1376" t="s">
        <v>145</v>
      </c>
      <c r="C41" s="1377"/>
      <c r="D41" s="1377"/>
      <c r="E41" s="1377"/>
      <c r="F41" s="1378"/>
      <c r="G41" s="314" t="str">
        <f>IF(G10="Ja","Budget","Rechng")</f>
        <v>Budget</v>
      </c>
      <c r="H41" s="847" t="s">
        <v>32</v>
      </c>
      <c r="I41" s="846" t="s">
        <v>26</v>
      </c>
      <c r="J41" s="257"/>
      <c r="K41" s="257"/>
      <c r="L41" s="257"/>
      <c r="M41" s="258"/>
    </row>
    <row r="42" spans="2:13" s="208" customFormat="1">
      <c r="B42" s="1379"/>
      <c r="C42" s="1380"/>
      <c r="D42" s="1380"/>
      <c r="E42" s="1380"/>
      <c r="F42" s="1381"/>
      <c r="G42" s="64">
        <f>Budget1</f>
        <v>2021</v>
      </c>
      <c r="H42" s="67">
        <f>Budget2</f>
        <v>2022</v>
      </c>
      <c r="I42" s="65">
        <f>Finz1</f>
        <v>2023</v>
      </c>
      <c r="J42" s="66">
        <f>Finz1+1</f>
        <v>2024</v>
      </c>
      <c r="K42" s="66">
        <f>Finz1+2</f>
        <v>2025</v>
      </c>
      <c r="L42" s="66">
        <f>Finz1+3</f>
        <v>2026</v>
      </c>
      <c r="M42" s="67">
        <f>Finz1+4</f>
        <v>2027</v>
      </c>
    </row>
    <row r="43" spans="2:13" ht="12.95" customHeight="1">
      <c r="B43" s="270">
        <v>402</v>
      </c>
      <c r="C43" s="271"/>
      <c r="D43" s="271" t="s">
        <v>140</v>
      </c>
      <c r="E43" s="271"/>
      <c r="F43" s="271"/>
      <c r="G43" s="272">
        <f t="shared" ref="G43:M43" si="1">SUM(G44:G49)</f>
        <v>220</v>
      </c>
      <c r="H43" s="852">
        <f t="shared" si="1"/>
        <v>220</v>
      </c>
      <c r="I43" s="273">
        <f t="shared" si="1"/>
        <v>230</v>
      </c>
      <c r="J43" s="274">
        <f t="shared" si="1"/>
        <v>245</v>
      </c>
      <c r="K43" s="274">
        <f t="shared" si="1"/>
        <v>220</v>
      </c>
      <c r="L43" s="274">
        <f t="shared" si="1"/>
        <v>195</v>
      </c>
      <c r="M43" s="275">
        <f t="shared" si="1"/>
        <v>195</v>
      </c>
    </row>
    <row r="44" spans="2:13" ht="12.95" customHeight="1">
      <c r="B44" s="60"/>
      <c r="C44" s="3"/>
      <c r="D44" s="3" t="s">
        <v>141</v>
      </c>
      <c r="E44" s="3"/>
      <c r="F44" s="3"/>
      <c r="G44" s="974">
        <v>90</v>
      </c>
      <c r="H44" s="975">
        <v>80</v>
      </c>
      <c r="I44" s="976">
        <v>75</v>
      </c>
      <c r="J44" s="977">
        <v>70</v>
      </c>
      <c r="K44" s="977">
        <v>65</v>
      </c>
      <c r="L44" s="977">
        <v>60</v>
      </c>
      <c r="M44" s="978">
        <v>60</v>
      </c>
    </row>
    <row r="45" spans="2:13" s="208" customFormat="1" ht="12.95" customHeight="1">
      <c r="B45" s="5"/>
      <c r="C45" s="2"/>
      <c r="D45" s="2" t="s">
        <v>348</v>
      </c>
      <c r="E45" s="2"/>
      <c r="F45" s="2"/>
      <c r="G45" s="979">
        <v>0</v>
      </c>
      <c r="H45" s="980">
        <v>0</v>
      </c>
      <c r="I45" s="981">
        <v>0</v>
      </c>
      <c r="J45" s="982">
        <v>0</v>
      </c>
      <c r="K45" s="982">
        <v>0</v>
      </c>
      <c r="L45" s="982">
        <v>0</v>
      </c>
      <c r="M45" s="983">
        <v>0</v>
      </c>
    </row>
    <row r="46" spans="2:13" ht="12.95" customHeight="1">
      <c r="B46" s="5"/>
      <c r="C46" s="2"/>
      <c r="D46" s="2" t="s">
        <v>142</v>
      </c>
      <c r="E46" s="2"/>
      <c r="F46" s="2"/>
      <c r="G46" s="979">
        <v>90</v>
      </c>
      <c r="H46" s="980">
        <v>105</v>
      </c>
      <c r="I46" s="981">
        <v>120</v>
      </c>
      <c r="J46" s="982">
        <v>140</v>
      </c>
      <c r="K46" s="982">
        <v>120</v>
      </c>
      <c r="L46" s="982">
        <v>100</v>
      </c>
      <c r="M46" s="983">
        <v>100</v>
      </c>
    </row>
    <row r="47" spans="2:13" ht="12.95" customHeight="1">
      <c r="B47" s="5"/>
      <c r="C47" s="2"/>
      <c r="D47" s="2" t="s">
        <v>143</v>
      </c>
      <c r="E47" s="2"/>
      <c r="F47" s="2"/>
      <c r="G47" s="979">
        <v>20</v>
      </c>
      <c r="H47" s="980">
        <v>20</v>
      </c>
      <c r="I47" s="981">
        <v>20</v>
      </c>
      <c r="J47" s="982">
        <v>20</v>
      </c>
      <c r="K47" s="982">
        <v>20</v>
      </c>
      <c r="L47" s="982">
        <v>20</v>
      </c>
      <c r="M47" s="983">
        <v>20</v>
      </c>
    </row>
    <row r="48" spans="2:13" s="208" customFormat="1" ht="12.95" customHeight="1">
      <c r="B48" s="5"/>
      <c r="C48" s="2"/>
      <c r="D48" s="2" t="s">
        <v>179</v>
      </c>
      <c r="E48" s="2"/>
      <c r="F48" s="2"/>
      <c r="G48" s="979">
        <v>15</v>
      </c>
      <c r="H48" s="980">
        <v>15</v>
      </c>
      <c r="I48" s="981">
        <v>15</v>
      </c>
      <c r="J48" s="982">
        <v>15</v>
      </c>
      <c r="K48" s="982">
        <v>15</v>
      </c>
      <c r="L48" s="982">
        <v>15</v>
      </c>
      <c r="M48" s="983">
        <v>15</v>
      </c>
    </row>
    <row r="49" spans="2:13" s="208" customFormat="1" ht="12.95" customHeight="1">
      <c r="B49" s="61"/>
      <c r="C49" s="6"/>
      <c r="D49" s="6" t="s">
        <v>163</v>
      </c>
      <c r="E49" s="6"/>
      <c r="F49" s="6"/>
      <c r="G49" s="984">
        <v>5</v>
      </c>
      <c r="H49" s="985"/>
      <c r="I49" s="986"/>
      <c r="J49" s="987"/>
      <c r="K49" s="987"/>
      <c r="L49" s="987"/>
      <c r="M49" s="988"/>
    </row>
    <row r="51" spans="2:13">
      <c r="B51" s="208"/>
      <c r="C51" s="208"/>
      <c r="D51" s="208"/>
      <c r="E51" s="208"/>
      <c r="F51" s="208"/>
      <c r="G51" s="208"/>
      <c r="H51" s="208"/>
      <c r="I51" s="208"/>
      <c r="J51" s="208"/>
      <c r="K51" s="208"/>
      <c r="L51" s="208"/>
      <c r="M51" s="208"/>
    </row>
    <row r="52" spans="2:13" ht="12.75">
      <c r="B52" s="1376" t="s">
        <v>150</v>
      </c>
      <c r="C52" s="1377"/>
      <c r="D52" s="1377"/>
      <c r="E52" s="1377"/>
      <c r="F52" s="1378"/>
      <c r="G52" s="314" t="str">
        <f>IF(G10="Ja","Budget","Rechng")</f>
        <v>Budget</v>
      </c>
      <c r="H52" s="847" t="s">
        <v>32</v>
      </c>
      <c r="I52" s="846" t="s">
        <v>26</v>
      </c>
      <c r="J52" s="276"/>
      <c r="K52" s="276"/>
      <c r="L52" s="276"/>
      <c r="M52" s="277"/>
    </row>
    <row r="53" spans="2:13">
      <c r="B53" s="1379"/>
      <c r="C53" s="1380"/>
      <c r="D53" s="1380"/>
      <c r="E53" s="1380"/>
      <c r="F53" s="1381"/>
      <c r="G53" s="64">
        <f>Budget1</f>
        <v>2021</v>
      </c>
      <c r="H53" s="67">
        <f>Budget2</f>
        <v>2022</v>
      </c>
      <c r="I53" s="65">
        <f>Finz1</f>
        <v>2023</v>
      </c>
      <c r="J53" s="66">
        <f>Finz1+1</f>
        <v>2024</v>
      </c>
      <c r="K53" s="66">
        <f>Finz1+2</f>
        <v>2025</v>
      </c>
      <c r="L53" s="66">
        <f>Finz1+3</f>
        <v>2026</v>
      </c>
      <c r="M53" s="67">
        <f>Finz1+4</f>
        <v>2027</v>
      </c>
    </row>
    <row r="54" spans="2:13" ht="12.95" customHeight="1">
      <c r="B54" s="270">
        <v>462</v>
      </c>
      <c r="C54" s="271"/>
      <c r="D54" s="271" t="s">
        <v>346</v>
      </c>
      <c r="E54" s="271"/>
      <c r="F54" s="271"/>
      <c r="G54" s="272">
        <f>SUM(G55:G59)</f>
        <v>2884</v>
      </c>
      <c r="H54" s="852">
        <f>SUM(H55:H59)</f>
        <v>2611</v>
      </c>
      <c r="I54" s="852">
        <f t="shared" ref="I54:L54" si="2">SUM(I55:I59)</f>
        <v>2500</v>
      </c>
      <c r="J54" s="852">
        <f t="shared" si="2"/>
        <v>2380</v>
      </c>
      <c r="K54" s="852">
        <f t="shared" si="2"/>
        <v>2300</v>
      </c>
      <c r="L54" s="852">
        <f t="shared" si="2"/>
        <v>2280</v>
      </c>
      <c r="M54" s="275">
        <f>SUM(M55:M59)</f>
        <v>2240</v>
      </c>
    </row>
    <row r="55" spans="2:13" ht="12" customHeight="1">
      <c r="B55" s="5"/>
      <c r="C55" s="2"/>
      <c r="D55" s="2" t="s">
        <v>164</v>
      </c>
      <c r="E55" s="2"/>
      <c r="F55" s="2"/>
      <c r="G55" s="974">
        <v>2144</v>
      </c>
      <c r="H55" s="975">
        <v>1860</v>
      </c>
      <c r="I55" s="981">
        <v>1750</v>
      </c>
      <c r="J55" s="982">
        <v>1620</v>
      </c>
      <c r="K55" s="982">
        <v>1540</v>
      </c>
      <c r="L55" s="982">
        <v>1500</v>
      </c>
      <c r="M55" s="983">
        <v>1460</v>
      </c>
    </row>
    <row r="56" spans="2:13" s="208" customFormat="1" ht="12.95" customHeight="1">
      <c r="B56" s="5"/>
      <c r="C56" s="2"/>
      <c r="D56" s="2" t="s">
        <v>180</v>
      </c>
      <c r="E56" s="2"/>
      <c r="F56" s="2"/>
      <c r="G56" s="979">
        <v>740</v>
      </c>
      <c r="H56" s="980">
        <v>751</v>
      </c>
      <c r="I56" s="981">
        <v>750</v>
      </c>
      <c r="J56" s="982">
        <v>760</v>
      </c>
      <c r="K56" s="982">
        <v>760</v>
      </c>
      <c r="L56" s="982">
        <v>780</v>
      </c>
      <c r="M56" s="983">
        <v>780</v>
      </c>
    </row>
    <row r="57" spans="2:13" s="208" customFormat="1" ht="12.95" customHeight="1">
      <c r="B57" s="5"/>
      <c r="C57" s="2"/>
      <c r="D57" s="2" t="s">
        <v>181</v>
      </c>
      <c r="E57" s="2"/>
      <c r="F57" s="2"/>
      <c r="G57" s="979"/>
      <c r="H57" s="980"/>
      <c r="I57" s="981"/>
      <c r="J57" s="982"/>
      <c r="K57" s="982"/>
      <c r="L57" s="982"/>
      <c r="M57" s="983"/>
    </row>
    <row r="58" spans="2:13" s="208" customFormat="1" ht="12.95" customHeight="1">
      <c r="B58" s="5"/>
      <c r="C58" s="2"/>
      <c r="D58" s="2" t="s">
        <v>299</v>
      </c>
      <c r="E58" s="2"/>
      <c r="F58" s="2"/>
      <c r="G58" s="979"/>
      <c r="H58" s="980"/>
      <c r="I58" s="981"/>
      <c r="J58" s="982"/>
      <c r="K58" s="982"/>
      <c r="L58" s="982"/>
      <c r="M58" s="983"/>
    </row>
    <row r="59" spans="2:13" s="208" customFormat="1" ht="12.95" customHeight="1">
      <c r="B59" s="5"/>
      <c r="C59" s="2"/>
      <c r="D59" s="2" t="s">
        <v>349</v>
      </c>
      <c r="E59" s="2"/>
      <c r="F59" s="2"/>
      <c r="G59" s="984"/>
      <c r="H59" s="1250"/>
      <c r="I59" s="981"/>
      <c r="J59" s="982"/>
      <c r="K59" s="982"/>
      <c r="L59" s="982"/>
      <c r="M59" s="983"/>
    </row>
    <row r="60" spans="2:13" s="208" customFormat="1" ht="12.95" customHeight="1">
      <c r="B60" s="270" t="s">
        <v>347</v>
      </c>
      <c r="C60" s="271"/>
      <c r="D60" s="271"/>
      <c r="E60" s="271"/>
      <c r="F60" s="271"/>
      <c r="G60" s="1252">
        <f>SUM(G61:G62)</f>
        <v>55</v>
      </c>
      <c r="H60" s="1253">
        <f>SUM(H61:H62)</f>
        <v>55</v>
      </c>
      <c r="I60" s="273">
        <f>SUM(I61:I62)</f>
        <v>55</v>
      </c>
      <c r="J60" s="274">
        <f>SUM(J61:J62)</f>
        <v>55</v>
      </c>
      <c r="K60" s="274">
        <f>SUM(K61:K62)</f>
        <v>55</v>
      </c>
      <c r="L60" s="274">
        <f t="shared" ref="L60:M60" si="3">SUM(L61:L62)</f>
        <v>55</v>
      </c>
      <c r="M60" s="1253">
        <f t="shared" si="3"/>
        <v>0</v>
      </c>
    </row>
    <row r="61" spans="2:13" s="208" customFormat="1" ht="12" customHeight="1">
      <c r="B61" s="60"/>
      <c r="C61" s="3"/>
      <c r="D61" s="3" t="s">
        <v>281</v>
      </c>
      <c r="E61" s="3"/>
      <c r="F61" s="3"/>
      <c r="G61" s="974"/>
      <c r="H61" s="975"/>
      <c r="I61" s="976"/>
      <c r="J61" s="977"/>
      <c r="K61" s="977"/>
      <c r="L61" s="977"/>
      <c r="M61" s="978"/>
    </row>
    <row r="62" spans="2:13" s="208" customFormat="1" ht="12.95" customHeight="1">
      <c r="B62" s="61"/>
      <c r="C62" s="6"/>
      <c r="D62" s="6" t="s">
        <v>350</v>
      </c>
      <c r="E62" s="6"/>
      <c r="F62" s="6"/>
      <c r="G62" s="984">
        <v>55</v>
      </c>
      <c r="H62" s="1250">
        <v>55</v>
      </c>
      <c r="I62" s="986">
        <v>55</v>
      </c>
      <c r="J62" s="1251">
        <v>55</v>
      </c>
      <c r="K62" s="1251">
        <v>55</v>
      </c>
      <c r="L62" s="1251">
        <v>55</v>
      </c>
      <c r="M62" s="988">
        <v>0</v>
      </c>
    </row>
    <row r="64" spans="2:13">
      <c r="B64" s="1254" t="s">
        <v>354</v>
      </c>
      <c r="D64" s="1" t="s">
        <v>351</v>
      </c>
    </row>
    <row r="65" spans="4:4" ht="12.75">
      <c r="D65" s="1255" t="s">
        <v>352</v>
      </c>
    </row>
    <row r="66" spans="4:4">
      <c r="D66" s="1254" t="s">
        <v>353</v>
      </c>
    </row>
  </sheetData>
  <mergeCells count="28">
    <mergeCell ref="B32:F33"/>
    <mergeCell ref="C13:F13"/>
    <mergeCell ref="C14:F14"/>
    <mergeCell ref="E8:F8"/>
    <mergeCell ref="B27:F27"/>
    <mergeCell ref="B19:F20"/>
    <mergeCell ref="B24:F24"/>
    <mergeCell ref="B25:F25"/>
    <mergeCell ref="B28:F28"/>
    <mergeCell ref="B29:F29"/>
    <mergeCell ref="I13:L13"/>
    <mergeCell ref="I14:L14"/>
    <mergeCell ref="B21:F21"/>
    <mergeCell ref="B22:F22"/>
    <mergeCell ref="B23:F23"/>
    <mergeCell ref="I15:L15"/>
    <mergeCell ref="B1:H1"/>
    <mergeCell ref="B3:M3"/>
    <mergeCell ref="C6:D6"/>
    <mergeCell ref="E6:F6"/>
    <mergeCell ref="C8:D8"/>
    <mergeCell ref="B52:F53"/>
    <mergeCell ref="B38:F38"/>
    <mergeCell ref="B41:F42"/>
    <mergeCell ref="B34:F34"/>
    <mergeCell ref="B37:F37"/>
    <mergeCell ref="B35:F35"/>
    <mergeCell ref="B36:F36"/>
  </mergeCells>
  <phoneticPr fontId="2" type="noConversion"/>
  <hyperlinks>
    <hyperlink ref="D65" r:id="rId1" xr:uid="{0C763EAD-FF43-3845-B1C4-A4DF123FEAE7}"/>
  </hyperlinks>
  <pageMargins left="0.74803149606299213" right="0.74803149606299213" top="0.98425196850393704" bottom="0.98425196850393704" header="0.51181102362204722" footer="0.51181102362204722"/>
  <pageSetup paperSize="9" scale="95" orientation="portrait" r:id="rId2"/>
  <headerFooter>
    <oddFooter>&amp;L&amp;8&amp;K000000© Legrafin                 &amp;D / &amp;T&amp;C&amp;8&amp;K000000Seite  &amp;P&amp;R&amp;8&amp;K000000&amp;F</oddFooter>
  </headerFooter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98"/>
  <sheetViews>
    <sheetView zoomScale="120" zoomScaleNormal="120" workbookViewId="0">
      <pane xSplit="8" ySplit="6" topLeftCell="I60" activePane="bottomRight" state="frozenSplit"/>
      <selection activeCell="AP90" sqref="AP90"/>
      <selection pane="topRight" activeCell="J54" sqref="J54"/>
      <selection pane="bottomLeft"/>
      <selection pane="bottomRight" activeCell="F106" sqref="F106"/>
    </sheetView>
  </sheetViews>
  <sheetFormatPr baseColWidth="10" defaultColWidth="11.42578125" defaultRowHeight="11.25"/>
  <cols>
    <col min="1" max="1" width="0.85546875" style="208" customWidth="1"/>
    <col min="2" max="2" width="2.7109375" style="218" customWidth="1"/>
    <col min="3" max="3" width="3.7109375" style="218" customWidth="1"/>
    <col min="4" max="4" width="1.7109375" style="218" customWidth="1"/>
    <col min="5" max="5" width="28.140625" style="218" customWidth="1"/>
    <col min="6" max="6" width="10.85546875" style="218" customWidth="1"/>
    <col min="7" max="7" width="2.140625" style="224" customWidth="1"/>
    <col min="8" max="8" width="6.42578125" style="218" customWidth="1"/>
    <col min="9" max="14" width="7.28515625" style="208" customWidth="1"/>
    <col min="15" max="16384" width="11.42578125" style="208"/>
  </cols>
  <sheetData>
    <row r="1" spans="1:14" s="36" customFormat="1" ht="12">
      <c r="A1" s="36" t="s">
        <v>57</v>
      </c>
      <c r="B1" s="303" t="str">
        <f>"Aufgaben- und Finanzplan "&amp;TEXT(Budget2,0)&amp;" - "&amp;TEXT(Finz1+4,0)</f>
        <v>Aufgaben- und Finanzplan 2022 - 2027</v>
      </c>
      <c r="C1" s="244"/>
      <c r="D1" s="244"/>
      <c r="E1" s="244"/>
      <c r="F1" s="244"/>
      <c r="G1" s="244"/>
      <c r="H1" s="245" t="str">
        <f>"Gemeinde "&amp;TEXT(Gemeinde,0)</f>
        <v>Gemeinde Menznau</v>
      </c>
    </row>
    <row r="2" spans="1:14">
      <c r="E2" s="949"/>
      <c r="G2" s="218"/>
    </row>
    <row r="3" spans="1:14" s="14" customFormat="1" ht="12.75">
      <c r="A3" s="73"/>
      <c r="B3" s="246" t="s">
        <v>282</v>
      </c>
      <c r="C3" s="246"/>
      <c r="D3" s="239"/>
      <c r="E3" s="239"/>
      <c r="F3" s="238"/>
      <c r="G3" s="238"/>
      <c r="H3" s="948"/>
      <c r="I3" s="377"/>
      <c r="J3" s="377"/>
      <c r="K3" s="377"/>
      <c r="L3" s="377"/>
      <c r="M3" s="377"/>
      <c r="N3" s="377"/>
    </row>
    <row r="4" spans="1:14">
      <c r="I4" s="380" t="str">
        <f>IF('F0a Konfiguration'!$C$11="","",'F0a Konfiguration'!$C$11)</f>
        <v>AB1</v>
      </c>
      <c r="J4" s="380" t="str">
        <f>IF('F0a Konfiguration'!$C$12="","",'F0a Konfiguration'!$C$12)</f>
        <v>AB2</v>
      </c>
      <c r="K4" s="380" t="str">
        <f>IF('F0a Konfiguration'!$C$13="","",'F0a Konfiguration'!$C$13)</f>
        <v>AB3</v>
      </c>
      <c r="L4" s="380" t="str">
        <f>IF('F0a Konfiguration'!$C$14="","",'F0a Konfiguration'!$C$14)</f>
        <v>AB4</v>
      </c>
      <c r="M4" s="380" t="str">
        <f>IF('F0a Konfiguration'!$C$15="","",'F0a Konfiguration'!$C$15)</f>
        <v>AB5</v>
      </c>
      <c r="N4" s="380" t="str">
        <f>IF('F0a Konfiguration'!$C$16="","",'F0a Konfiguration'!$C$16)</f>
        <v>AB6</v>
      </c>
    </row>
    <row r="5" spans="1:14">
      <c r="I5" s="380" t="str">
        <f>IF('F0a Konfiguration'!$G$11="","",'F0a Konfiguration'!$G$11)</f>
        <v>Verwaltung</v>
      </c>
      <c r="J5" s="380" t="str">
        <f>IF('F0a Konfiguration'!$G$12="","",'F0a Konfiguration'!$G$12)</f>
        <v>Bildung</v>
      </c>
      <c r="K5" s="380" t="str">
        <f>IF('F0a Konfiguration'!$G$13="","",'F0a Konfiguration'!$G$13)</f>
        <v>Freizeit</v>
      </c>
      <c r="L5" s="380" t="str">
        <f>IF('F0a Konfiguration'!$G$14="","",'F0a Konfiguration'!$G$14)</f>
        <v>Soziales</v>
      </c>
      <c r="M5" s="380" t="str">
        <f>IF('F0a Konfiguration'!$G$15="","",'F0a Konfiguration'!$G$15)</f>
        <v>Infrastruktur</v>
      </c>
      <c r="N5" s="380" t="str">
        <f>IF('F0a Konfiguration'!$G$16="","",'F0a Konfiguration'!$G$16)</f>
        <v>Finanzen</v>
      </c>
    </row>
    <row r="6" spans="1:14">
      <c r="B6" s="249" t="str">
        <f>IF('F0b Planungsparameter'!$G$10="Ja","Bilanz Ende Rechnungsjahr "&amp;TEXT(Rech,0)&amp;" (nach Abschlussverbuchung)","Bilanz Ende Rechnungsjahr "&amp;TEXT(Budget1,0)&amp;" (nach Abschlussverbuchung)")</f>
        <v>Bilanz Ende Rechnungsjahr 2020 (nach Abschlussverbuchung)</v>
      </c>
      <c r="C6" s="247"/>
      <c r="D6" s="247"/>
      <c r="E6" s="247"/>
      <c r="F6" s="219"/>
      <c r="G6" s="247"/>
      <c r="H6" s="249"/>
      <c r="I6" s="381"/>
      <c r="J6" s="381"/>
      <c r="K6" s="381"/>
      <c r="L6" s="381"/>
      <c r="M6" s="381"/>
      <c r="N6" s="381"/>
    </row>
    <row r="7" spans="1:14">
      <c r="B7" s="249"/>
      <c r="C7" s="247"/>
      <c r="D7" s="247"/>
      <c r="E7" s="247"/>
      <c r="F7" s="219"/>
      <c r="G7" s="247"/>
      <c r="H7" s="249"/>
    </row>
    <row r="8" spans="1:14" ht="12.75">
      <c r="B8" s="16">
        <v>1</v>
      </c>
      <c r="C8" s="250" t="s">
        <v>43</v>
      </c>
      <c r="D8" s="240"/>
      <c r="E8" s="241"/>
      <c r="F8" s="359">
        <f>ROUND(F10+F20,0)</f>
        <v>34868</v>
      </c>
      <c r="G8" s="260"/>
      <c r="H8" s="1008" t="str">
        <f>IF(F8-F30=0,"","Bilanz nicht ausgeglichen")</f>
        <v/>
      </c>
      <c r="I8" s="218"/>
      <c r="J8" s="218"/>
      <c r="K8" s="218"/>
      <c r="L8" s="218"/>
      <c r="M8" s="218"/>
      <c r="N8" s="218"/>
    </row>
    <row r="9" spans="1:14">
      <c r="B9" s="11"/>
      <c r="C9" s="254"/>
      <c r="D9" s="247"/>
      <c r="E9" s="247"/>
      <c r="F9" s="361"/>
      <c r="G9" s="248"/>
      <c r="I9" s="218"/>
      <c r="J9" s="218"/>
      <c r="K9" s="218"/>
      <c r="L9" s="218"/>
      <c r="M9" s="218"/>
      <c r="N9" s="218"/>
    </row>
    <row r="10" spans="1:14" ht="12.75">
      <c r="B10" s="13">
        <v>10</v>
      </c>
      <c r="C10" s="249" t="s">
        <v>44</v>
      </c>
      <c r="D10" s="251"/>
      <c r="E10" s="243"/>
      <c r="F10" s="369">
        <f>SUM(F11:F18)</f>
        <v>11706</v>
      </c>
      <c r="G10" s="248"/>
      <c r="I10" s="218"/>
      <c r="J10" s="218"/>
      <c r="K10" s="218"/>
      <c r="L10" s="218"/>
      <c r="M10" s="218"/>
      <c r="N10" s="218"/>
    </row>
    <row r="11" spans="1:14">
      <c r="B11" s="11"/>
      <c r="C11" s="254">
        <v>100</v>
      </c>
      <c r="D11" s="254" t="s">
        <v>107</v>
      </c>
      <c r="E11" s="255"/>
      <c r="F11" s="989">
        <v>6958</v>
      </c>
      <c r="G11" s="248"/>
      <c r="I11" s="218"/>
      <c r="J11" s="218"/>
      <c r="K11" s="218"/>
      <c r="L11" s="218"/>
      <c r="M11" s="218"/>
      <c r="N11" s="218"/>
    </row>
    <row r="12" spans="1:14">
      <c r="B12" s="13"/>
      <c r="C12" s="254">
        <v>101</v>
      </c>
      <c r="D12" s="254" t="s">
        <v>114</v>
      </c>
      <c r="E12" s="255"/>
      <c r="F12" s="989">
        <v>3807</v>
      </c>
      <c r="G12" s="248"/>
    </row>
    <row r="13" spans="1:14">
      <c r="B13" s="13"/>
      <c r="C13" s="254">
        <v>102</v>
      </c>
      <c r="D13" s="254" t="s">
        <v>115</v>
      </c>
      <c r="E13" s="255"/>
      <c r="F13" s="989"/>
      <c r="G13" s="248"/>
    </row>
    <row r="14" spans="1:14">
      <c r="B14" s="13"/>
      <c r="C14" s="254">
        <v>104</v>
      </c>
      <c r="D14" s="254" t="s">
        <v>116</v>
      </c>
      <c r="E14" s="255"/>
      <c r="F14" s="989">
        <v>215</v>
      </c>
      <c r="G14" s="248"/>
    </row>
    <row r="15" spans="1:14">
      <c r="B15" s="13"/>
      <c r="C15" s="254">
        <v>106</v>
      </c>
      <c r="D15" s="254" t="s">
        <v>117</v>
      </c>
      <c r="E15" s="255"/>
      <c r="F15" s="989">
        <v>69</v>
      </c>
      <c r="G15" s="248"/>
    </row>
    <row r="16" spans="1:14">
      <c r="B16" s="13"/>
      <c r="C16" s="254">
        <v>107</v>
      </c>
      <c r="D16" s="254" t="s">
        <v>118</v>
      </c>
      <c r="E16" s="255"/>
      <c r="F16" s="989">
        <v>21</v>
      </c>
      <c r="G16" s="248"/>
    </row>
    <row r="17" spans="1:14">
      <c r="B17" s="13"/>
      <c r="C17" s="306">
        <v>108</v>
      </c>
      <c r="D17" s="306" t="s">
        <v>165</v>
      </c>
      <c r="E17" s="255"/>
      <c r="F17" s="989">
        <v>636</v>
      </c>
      <c r="G17" s="248"/>
      <c r="I17" s="261"/>
    </row>
    <row r="18" spans="1:14">
      <c r="B18" s="13"/>
      <c r="C18" s="254">
        <v>109</v>
      </c>
      <c r="D18" s="254" t="s">
        <v>119</v>
      </c>
      <c r="E18" s="255"/>
      <c r="F18" s="989">
        <v>0</v>
      </c>
      <c r="G18" s="248"/>
    </row>
    <row r="19" spans="1:14">
      <c r="B19" s="13"/>
      <c r="C19" s="247"/>
      <c r="D19" s="247"/>
      <c r="E19" s="248"/>
      <c r="F19" s="226"/>
      <c r="G19" s="248"/>
    </row>
    <row r="20" spans="1:14" ht="12.75">
      <c r="B20" s="13">
        <v>14</v>
      </c>
      <c r="C20" s="249" t="s">
        <v>22</v>
      </c>
      <c r="D20" s="251"/>
      <c r="E20" s="243"/>
      <c r="F20" s="227">
        <f>SUM(F21:F25)</f>
        <v>23162</v>
      </c>
      <c r="G20" s="248"/>
      <c r="H20" s="1009" t="str">
        <f>IF(SUM(I20:Q20)-F20=0,"",SUM(I20:Q20)-F20)</f>
        <v/>
      </c>
      <c r="I20" s="993">
        <v>1147</v>
      </c>
      <c r="J20" s="993">
        <v>8696</v>
      </c>
      <c r="K20" s="993">
        <v>989</v>
      </c>
      <c r="L20" s="993">
        <v>1621</v>
      </c>
      <c r="M20" s="993">
        <v>10709</v>
      </c>
      <c r="N20" s="993"/>
    </row>
    <row r="21" spans="1:14">
      <c r="B21" s="11"/>
      <c r="C21" s="254">
        <v>140</v>
      </c>
      <c r="D21" s="306" t="s">
        <v>166</v>
      </c>
      <c r="E21" s="255"/>
      <c r="F21" s="989">
        <v>20665</v>
      </c>
      <c r="G21" s="248"/>
    </row>
    <row r="22" spans="1:14">
      <c r="B22" s="11"/>
      <c r="C22" s="254">
        <v>142</v>
      </c>
      <c r="D22" s="254" t="s">
        <v>109</v>
      </c>
      <c r="E22" s="255"/>
      <c r="F22" s="989">
        <v>56</v>
      </c>
      <c r="G22" s="248"/>
      <c r="I22" s="218"/>
      <c r="J22" s="218"/>
      <c r="K22" s="218"/>
      <c r="L22" s="218"/>
      <c r="M22" s="218"/>
      <c r="N22" s="218"/>
    </row>
    <row r="23" spans="1:14">
      <c r="B23" s="11"/>
      <c r="C23" s="254">
        <v>144</v>
      </c>
      <c r="D23" s="254" t="s">
        <v>110</v>
      </c>
      <c r="E23" s="255"/>
      <c r="F23" s="989">
        <v>148</v>
      </c>
      <c r="G23" s="248"/>
      <c r="I23" s="218"/>
      <c r="J23" s="218"/>
      <c r="K23" s="218"/>
      <c r="L23" s="218"/>
      <c r="M23" s="218"/>
      <c r="N23" s="218"/>
    </row>
    <row r="24" spans="1:14">
      <c r="B24" s="11"/>
      <c r="C24" s="254">
        <v>145</v>
      </c>
      <c r="D24" s="254" t="s">
        <v>131</v>
      </c>
      <c r="E24" s="255"/>
      <c r="F24" s="989">
        <v>0</v>
      </c>
      <c r="G24" s="248"/>
      <c r="I24" s="218"/>
      <c r="J24" s="218"/>
      <c r="K24" s="218"/>
      <c r="L24" s="218"/>
      <c r="M24" s="218"/>
      <c r="N24" s="218"/>
    </row>
    <row r="25" spans="1:14">
      <c r="B25" s="11"/>
      <c r="C25" s="254">
        <v>146</v>
      </c>
      <c r="D25" s="254" t="s">
        <v>60</v>
      </c>
      <c r="E25" s="255"/>
      <c r="F25" s="989">
        <v>2293</v>
      </c>
      <c r="G25" s="248"/>
      <c r="I25" s="218"/>
      <c r="J25" s="218"/>
      <c r="K25" s="218"/>
      <c r="L25" s="218"/>
      <c r="M25" s="218"/>
      <c r="N25" s="218"/>
    </row>
    <row r="26" spans="1:14">
      <c r="B26" s="13"/>
      <c r="C26" s="247"/>
      <c r="D26" s="247"/>
      <c r="E26" s="247"/>
      <c r="F26" s="229"/>
      <c r="G26" s="248"/>
      <c r="I26" s="218"/>
      <c r="J26" s="218"/>
      <c r="K26" s="218"/>
      <c r="L26" s="218"/>
      <c r="M26" s="218"/>
      <c r="N26" s="218"/>
    </row>
    <row r="27" spans="1:14">
      <c r="B27" s="1010" t="str">
        <f>IF(ROUND((F8-F30),0)=0,"","Achtung! Keine ausgeglichene Bilanz! Fehler "&amp;TEXT(F8-F30,0))</f>
        <v/>
      </c>
      <c r="C27" s="256"/>
      <c r="D27" s="256"/>
      <c r="E27" s="256"/>
      <c r="F27" s="223"/>
      <c r="G27" s="217"/>
      <c r="I27" s="218"/>
      <c r="J27" s="218"/>
      <c r="K27" s="218"/>
      <c r="L27" s="218"/>
      <c r="M27" s="218"/>
      <c r="N27" s="218"/>
    </row>
    <row r="28" spans="1:14">
      <c r="A28" s="219"/>
      <c r="B28" s="219"/>
      <c r="C28" s="219"/>
      <c r="D28" s="219"/>
      <c r="E28" s="219"/>
      <c r="F28" s="219"/>
      <c r="G28" s="219"/>
      <c r="H28" s="219"/>
      <c r="I28" s="218"/>
      <c r="J28" s="218"/>
      <c r="K28" s="218"/>
      <c r="L28" s="218"/>
      <c r="M28" s="218"/>
      <c r="N28" s="218"/>
    </row>
    <row r="29" spans="1:14">
      <c r="A29" s="219"/>
      <c r="B29" s="219"/>
      <c r="C29" s="219"/>
      <c r="D29" s="219"/>
      <c r="E29" s="219"/>
      <c r="F29" s="219"/>
      <c r="G29" s="219"/>
      <c r="H29" s="219"/>
      <c r="I29" s="218"/>
      <c r="J29" s="218"/>
      <c r="K29" s="218"/>
      <c r="L29" s="218"/>
      <c r="M29" s="218"/>
      <c r="N29" s="218"/>
    </row>
    <row r="30" spans="1:14" ht="12.75">
      <c r="A30" s="219"/>
      <c r="B30" s="16">
        <v>2</v>
      </c>
      <c r="C30" s="250" t="s">
        <v>16</v>
      </c>
      <c r="D30" s="240"/>
      <c r="E30" s="241"/>
      <c r="F30" s="221">
        <f>ROUND(F32+F42,0)</f>
        <v>34868</v>
      </c>
      <c r="G30" s="260"/>
      <c r="H30" s="219"/>
      <c r="I30" s="218"/>
      <c r="J30" s="218"/>
      <c r="K30" s="218"/>
      <c r="L30" s="218"/>
      <c r="M30" s="218"/>
      <c r="N30" s="218"/>
    </row>
    <row r="31" spans="1:14">
      <c r="A31" s="219"/>
      <c r="B31" s="11"/>
      <c r="C31" s="254"/>
      <c r="D31" s="247"/>
      <c r="E31" s="247"/>
      <c r="F31" s="219"/>
      <c r="G31" s="320"/>
      <c r="H31" s="219"/>
      <c r="I31" s="218"/>
      <c r="J31" s="218"/>
      <c r="K31" s="218"/>
      <c r="L31" s="218"/>
      <c r="M31" s="218"/>
      <c r="N31" s="218"/>
    </row>
    <row r="32" spans="1:14" ht="12.75">
      <c r="A32" s="219"/>
      <c r="B32" s="13">
        <v>20</v>
      </c>
      <c r="C32" s="249" t="s">
        <v>24</v>
      </c>
      <c r="E32" s="243"/>
      <c r="F32" s="222">
        <f>SUM(F33:F40)-F38</f>
        <v>11160</v>
      </c>
      <c r="G32" s="320"/>
      <c r="H32" s="219"/>
      <c r="I32" s="218"/>
      <c r="J32" s="218"/>
      <c r="K32" s="218"/>
      <c r="L32" s="218"/>
      <c r="M32" s="218"/>
      <c r="N32" s="218"/>
    </row>
    <row r="33" spans="1:14">
      <c r="A33" s="219"/>
      <c r="B33" s="11"/>
      <c r="C33" s="225">
        <v>200</v>
      </c>
      <c r="D33" s="254"/>
      <c r="E33" s="254" t="s">
        <v>126</v>
      </c>
      <c r="F33" s="989">
        <v>6628</v>
      </c>
      <c r="G33" s="248"/>
      <c r="H33" s="219"/>
      <c r="I33" s="218"/>
      <c r="J33" s="218"/>
      <c r="K33" s="218"/>
      <c r="L33" s="218"/>
      <c r="M33" s="218"/>
      <c r="N33" s="218"/>
    </row>
    <row r="34" spans="1:14">
      <c r="A34" s="219"/>
      <c r="B34" s="13"/>
      <c r="C34" s="225">
        <v>201</v>
      </c>
      <c r="D34" s="254"/>
      <c r="E34" s="254" t="s">
        <v>120</v>
      </c>
      <c r="F34" s="989">
        <v>1500</v>
      </c>
      <c r="G34" s="248"/>
      <c r="H34" s="219"/>
      <c r="I34" s="218"/>
      <c r="J34" s="218"/>
      <c r="K34" s="218"/>
      <c r="L34" s="218"/>
      <c r="M34" s="218"/>
      <c r="N34" s="218"/>
    </row>
    <row r="35" spans="1:14">
      <c r="A35" s="219"/>
      <c r="B35" s="13"/>
      <c r="C35" s="225">
        <v>204</v>
      </c>
      <c r="D35" s="254"/>
      <c r="E35" s="254" t="s">
        <v>121</v>
      </c>
      <c r="F35" s="989">
        <v>183</v>
      </c>
      <c r="G35" s="248"/>
      <c r="H35" s="219"/>
      <c r="I35" s="218"/>
      <c r="J35" s="218"/>
      <c r="K35" s="218"/>
      <c r="L35" s="218"/>
      <c r="M35" s="218"/>
      <c r="N35" s="218"/>
    </row>
    <row r="36" spans="1:14">
      <c r="A36" s="219"/>
      <c r="B36" s="13"/>
      <c r="C36" s="225">
        <v>205</v>
      </c>
      <c r="D36" s="254"/>
      <c r="E36" s="254" t="s">
        <v>122</v>
      </c>
      <c r="F36" s="989">
        <v>0</v>
      </c>
      <c r="G36" s="248"/>
      <c r="H36" s="219"/>
      <c r="I36" s="218"/>
      <c r="J36" s="218"/>
      <c r="K36" s="218"/>
      <c r="L36" s="218"/>
      <c r="M36" s="218"/>
      <c r="N36" s="218"/>
    </row>
    <row r="37" spans="1:14">
      <c r="A37" s="219"/>
      <c r="B37" s="13"/>
      <c r="C37" s="225">
        <v>206</v>
      </c>
      <c r="D37" s="254"/>
      <c r="E37" s="254" t="s">
        <v>123</v>
      </c>
      <c r="F37" s="989">
        <v>2672</v>
      </c>
      <c r="G37" s="248"/>
      <c r="H37" s="630"/>
      <c r="I37" s="218"/>
      <c r="J37" s="218"/>
      <c r="K37" s="218"/>
      <c r="L37" s="218"/>
      <c r="M37" s="218"/>
      <c r="N37" s="218"/>
    </row>
    <row r="38" spans="1:14">
      <c r="A38" s="219"/>
      <c r="B38" s="13"/>
      <c r="C38" s="225"/>
      <c r="D38" s="1280"/>
      <c r="E38" s="1287" t="s">
        <v>369</v>
      </c>
      <c r="F38" s="1283">
        <v>0</v>
      </c>
      <c r="G38" s="1279"/>
      <c r="H38" s="630"/>
      <c r="I38" s="218"/>
      <c r="J38" s="218"/>
      <c r="K38" s="218"/>
      <c r="L38" s="218"/>
      <c r="M38" s="218"/>
      <c r="N38" s="218"/>
    </row>
    <row r="39" spans="1:14">
      <c r="A39" s="219"/>
      <c r="B39" s="13"/>
      <c r="C39" s="225">
        <v>208</v>
      </c>
      <c r="D39" s="254"/>
      <c r="E39" s="254" t="s">
        <v>124</v>
      </c>
      <c r="F39" s="989">
        <v>0</v>
      </c>
      <c r="G39" s="248"/>
      <c r="H39" s="219"/>
      <c r="I39" s="218"/>
      <c r="J39" s="218"/>
      <c r="K39" s="218"/>
      <c r="L39" s="218"/>
      <c r="M39" s="218"/>
      <c r="N39" s="218"/>
    </row>
    <row r="40" spans="1:14">
      <c r="A40" s="219"/>
      <c r="B40" s="13"/>
      <c r="C40" s="225">
        <v>209</v>
      </c>
      <c r="D40" s="254"/>
      <c r="E40" s="254" t="s">
        <v>125</v>
      </c>
      <c r="F40" s="989">
        <v>177</v>
      </c>
      <c r="G40" s="248"/>
      <c r="H40" s="219"/>
      <c r="I40" s="218"/>
      <c r="J40" s="218"/>
      <c r="K40" s="218"/>
      <c r="L40" s="218"/>
      <c r="M40" s="218"/>
      <c r="N40" s="218"/>
    </row>
    <row r="41" spans="1:14">
      <c r="A41" s="219"/>
      <c r="B41" s="13"/>
      <c r="D41" s="247"/>
      <c r="E41" s="247"/>
      <c r="F41" s="228"/>
      <c r="G41" s="248"/>
      <c r="H41" s="219"/>
      <c r="I41" s="218"/>
      <c r="J41" s="218"/>
      <c r="K41" s="218"/>
      <c r="L41" s="218"/>
      <c r="M41" s="218"/>
      <c r="N41" s="218"/>
    </row>
    <row r="42" spans="1:14" ht="12.75">
      <c r="A42" s="219"/>
      <c r="B42" s="13">
        <v>29</v>
      </c>
      <c r="C42" s="253" t="s">
        <v>111</v>
      </c>
      <c r="D42" s="239"/>
      <c r="E42" s="243"/>
      <c r="F42" s="371">
        <f>SUM(F43:F47)</f>
        <v>23708</v>
      </c>
      <c r="G42" s="248"/>
      <c r="H42" s="219"/>
      <c r="I42" s="218"/>
      <c r="J42" s="218"/>
      <c r="K42" s="218"/>
      <c r="L42" s="218"/>
      <c r="M42" s="218"/>
      <c r="N42" s="218"/>
    </row>
    <row r="43" spans="1:14">
      <c r="A43" s="219"/>
      <c r="B43" s="11"/>
      <c r="C43" s="254">
        <v>290</v>
      </c>
      <c r="D43" s="254" t="s">
        <v>103</v>
      </c>
      <c r="E43" s="255"/>
      <c r="F43" s="990">
        <v>10758</v>
      </c>
      <c r="G43" s="248"/>
      <c r="H43" s="1009" t="str">
        <f>IF(SUM(I43:Q43)-F43=0,"",SUM(I43:Q43)-F43)</f>
        <v/>
      </c>
      <c r="I43" s="994"/>
      <c r="J43" s="994"/>
      <c r="K43" s="994"/>
      <c r="L43" s="994">
        <v>2469</v>
      </c>
      <c r="M43" s="994">
        <v>8289</v>
      </c>
      <c r="N43" s="994"/>
    </row>
    <row r="44" spans="1:14">
      <c r="A44" s="219"/>
      <c r="B44" s="11"/>
      <c r="C44" s="254">
        <v>291</v>
      </c>
      <c r="D44" s="254" t="s">
        <v>104</v>
      </c>
      <c r="E44" s="255"/>
      <c r="F44" s="990">
        <v>0</v>
      </c>
      <c r="G44" s="248"/>
      <c r="H44" s="1009" t="str">
        <f>IF(SUM(I44:Q44)-F44=0,"",SUM(I44:Q44)-F44)</f>
        <v/>
      </c>
      <c r="I44" s="995"/>
      <c r="J44" s="995"/>
      <c r="K44" s="995"/>
      <c r="L44" s="995"/>
      <c r="M44" s="995"/>
      <c r="N44" s="995"/>
    </row>
    <row r="45" spans="1:14">
      <c r="A45" s="219"/>
      <c r="B45" s="11"/>
      <c r="C45" s="254">
        <v>295</v>
      </c>
      <c r="D45" s="254" t="s">
        <v>112</v>
      </c>
      <c r="E45" s="255"/>
      <c r="F45" s="990">
        <v>0</v>
      </c>
      <c r="G45" s="248"/>
      <c r="H45" s="219"/>
    </row>
    <row r="46" spans="1:14">
      <c r="A46" s="219"/>
      <c r="B46" s="11"/>
      <c r="C46" s="254">
        <v>298</v>
      </c>
      <c r="D46" s="254" t="s">
        <v>105</v>
      </c>
      <c r="E46" s="255"/>
      <c r="F46" s="990">
        <v>0</v>
      </c>
      <c r="G46" s="248"/>
      <c r="H46" s="219"/>
    </row>
    <row r="47" spans="1:14">
      <c r="A47" s="219"/>
      <c r="B47" s="13"/>
      <c r="C47" s="254">
        <v>299</v>
      </c>
      <c r="D47" s="254" t="s">
        <v>113</v>
      </c>
      <c r="E47" s="255"/>
      <c r="F47" s="990">
        <v>12950</v>
      </c>
      <c r="G47" s="248"/>
      <c r="H47" s="219"/>
    </row>
    <row r="48" spans="1:14">
      <c r="A48" s="219"/>
      <c r="B48" s="242"/>
      <c r="C48" s="247"/>
      <c r="D48" s="247"/>
      <c r="E48" s="247"/>
      <c r="F48" s="229"/>
      <c r="G48" s="248"/>
      <c r="H48" s="219"/>
    </row>
    <row r="49" spans="1:14">
      <c r="A49" s="219"/>
      <c r="B49" s="252"/>
      <c r="C49" s="256"/>
      <c r="D49" s="256"/>
      <c r="E49" s="256"/>
      <c r="F49" s="223"/>
      <c r="G49" s="217"/>
      <c r="H49" s="219"/>
    </row>
    <row r="50" spans="1:14">
      <c r="A50" s="219"/>
      <c r="B50" s="219"/>
      <c r="C50" s="219"/>
      <c r="D50" s="219"/>
      <c r="E50" s="219"/>
      <c r="F50" s="219"/>
      <c r="G50" s="219"/>
      <c r="H50" s="219"/>
    </row>
    <row r="51" spans="1:14">
      <c r="A51" s="219"/>
      <c r="B51" s="219"/>
      <c r="C51" s="219"/>
      <c r="D51" s="219"/>
      <c r="E51" s="219"/>
      <c r="F51" s="219"/>
      <c r="G51" s="219"/>
      <c r="H51" s="219"/>
      <c r="J51" s="261"/>
    </row>
    <row r="52" spans="1:14">
      <c r="A52" s="219"/>
      <c r="B52" s="1284" t="str">
        <f>IF('F0b Planungsparameter'!$G$10="Ja","Budget der Investitionsrechnung des Jahres "&amp;TEXT(Budget1,0),"Hier p.m. Investitionsrechnung "&amp;TEXT(Budget1,0)&amp;" eintragen, wird in Form 6 übernommen")</f>
        <v>Budget der Investitionsrechnung des Jahres 2021</v>
      </c>
      <c r="C52" s="219"/>
      <c r="D52" s="219"/>
      <c r="E52" s="219"/>
      <c r="F52" s="219"/>
      <c r="G52" s="219"/>
      <c r="H52" s="219"/>
    </row>
    <row r="53" spans="1:14">
      <c r="A53" s="219"/>
      <c r="B53" s="231"/>
      <c r="C53" s="219"/>
      <c r="D53" s="219"/>
      <c r="E53" s="219"/>
      <c r="F53" s="219"/>
      <c r="G53" s="219"/>
      <c r="H53" s="219"/>
    </row>
    <row r="54" spans="1:14" ht="12.75">
      <c r="A54" s="219"/>
      <c r="B54" s="16">
        <v>5</v>
      </c>
      <c r="C54" s="250" t="s">
        <v>40</v>
      </c>
      <c r="D54" s="240"/>
      <c r="E54" s="241"/>
      <c r="F54" s="220">
        <f>SUM(F55:F61)</f>
        <v>2550</v>
      </c>
      <c r="G54" s="260"/>
      <c r="H54" s="1009" t="str">
        <f>IF(SUM(I54:Q54)-F54=0,"",SUM(I54:Q54)-F54)</f>
        <v/>
      </c>
      <c r="I54" s="993">
        <v>230</v>
      </c>
      <c r="J54" s="993">
        <v>385</v>
      </c>
      <c r="K54" s="993">
        <v>395</v>
      </c>
      <c r="L54" s="993">
        <v>290</v>
      </c>
      <c r="M54" s="993">
        <v>1250</v>
      </c>
      <c r="N54" s="993"/>
    </row>
    <row r="55" spans="1:14">
      <c r="A55" s="219"/>
      <c r="B55" s="11"/>
      <c r="C55" s="254">
        <v>50</v>
      </c>
      <c r="D55" s="254" t="s">
        <v>108</v>
      </c>
      <c r="E55" s="255"/>
      <c r="F55" s="991">
        <v>2530</v>
      </c>
      <c r="G55" s="248"/>
    </row>
    <row r="56" spans="1:14">
      <c r="A56" s="219"/>
      <c r="B56" s="13"/>
      <c r="C56" s="306">
        <v>51</v>
      </c>
      <c r="D56" s="306" t="s">
        <v>167</v>
      </c>
      <c r="E56" s="307"/>
      <c r="F56" s="989"/>
      <c r="G56" s="305"/>
      <c r="I56" s="219"/>
      <c r="J56" s="219"/>
      <c r="K56" s="219"/>
      <c r="L56" s="219"/>
      <c r="M56" s="219"/>
      <c r="N56" s="219"/>
    </row>
    <row r="57" spans="1:14">
      <c r="A57" s="219"/>
      <c r="B57" s="13"/>
      <c r="C57" s="254">
        <v>52</v>
      </c>
      <c r="D57" s="254" t="s">
        <v>109</v>
      </c>
      <c r="E57" s="255"/>
      <c r="F57" s="989"/>
      <c r="G57" s="248"/>
      <c r="I57" s="219"/>
      <c r="J57" s="219"/>
      <c r="K57" s="219"/>
      <c r="L57" s="219"/>
      <c r="M57" s="219"/>
      <c r="N57" s="219"/>
    </row>
    <row r="58" spans="1:14">
      <c r="A58" s="219"/>
      <c r="B58" s="11"/>
      <c r="C58" s="254">
        <v>54</v>
      </c>
      <c r="D58" s="254" t="s">
        <v>110</v>
      </c>
      <c r="E58" s="255"/>
      <c r="F58" s="989"/>
      <c r="G58" s="248"/>
      <c r="I58" s="219"/>
      <c r="J58" s="219"/>
      <c r="K58" s="219"/>
      <c r="L58" s="219"/>
      <c r="M58" s="219"/>
      <c r="N58" s="219"/>
    </row>
    <row r="59" spans="1:14">
      <c r="A59" s="219"/>
      <c r="B59" s="13"/>
      <c r="C59" s="254">
        <v>55</v>
      </c>
      <c r="D59" s="306" t="s">
        <v>131</v>
      </c>
      <c r="E59" s="255"/>
      <c r="F59" s="989"/>
      <c r="G59" s="248"/>
      <c r="I59" s="219"/>
      <c r="J59" s="219"/>
      <c r="K59" s="219"/>
      <c r="L59" s="219"/>
      <c r="M59" s="219"/>
      <c r="N59" s="219"/>
    </row>
    <row r="60" spans="1:14">
      <c r="A60" s="219"/>
      <c r="B60" s="13"/>
      <c r="C60" s="254">
        <v>56</v>
      </c>
      <c r="D60" s="306" t="s">
        <v>168</v>
      </c>
      <c r="E60" s="255"/>
      <c r="F60" s="992">
        <v>20</v>
      </c>
      <c r="G60" s="248"/>
      <c r="I60" s="219"/>
      <c r="J60" s="219"/>
      <c r="K60" s="219"/>
      <c r="L60" s="219"/>
      <c r="M60" s="219"/>
      <c r="N60" s="219"/>
    </row>
    <row r="61" spans="1:14">
      <c r="A61" s="219"/>
      <c r="B61" s="230"/>
      <c r="C61" s="232"/>
      <c r="D61" s="232"/>
      <c r="E61" s="232"/>
      <c r="F61" s="232"/>
      <c r="G61" s="217"/>
      <c r="H61" s="219"/>
    </row>
    <row r="62" spans="1:14">
      <c r="A62" s="219"/>
      <c r="B62" s="219"/>
      <c r="C62" s="219"/>
      <c r="D62" s="219"/>
      <c r="E62" s="219"/>
      <c r="F62" s="219"/>
      <c r="G62" s="219"/>
      <c r="H62" s="219"/>
    </row>
    <row r="63" spans="1:14" ht="12.75">
      <c r="A63" s="219"/>
      <c r="B63" s="16">
        <v>6</v>
      </c>
      <c r="C63" s="250" t="s">
        <v>41</v>
      </c>
      <c r="D63" s="240"/>
      <c r="E63" s="241"/>
      <c r="F63" s="220">
        <f>SUM(F64:F71)</f>
        <v>480</v>
      </c>
      <c r="G63" s="260"/>
      <c r="H63" s="1009" t="str">
        <f>IF(SUM(I63:Q63)-F63=0,"",SUM(I63:Q63)-F63)</f>
        <v/>
      </c>
      <c r="I63" s="993"/>
      <c r="J63" s="993"/>
      <c r="K63" s="993"/>
      <c r="L63" s="993"/>
      <c r="M63" s="993">
        <v>480</v>
      </c>
      <c r="N63" s="993"/>
    </row>
    <row r="64" spans="1:14">
      <c r="A64" s="219"/>
      <c r="B64" s="11"/>
      <c r="C64" s="254">
        <v>60</v>
      </c>
      <c r="D64" s="254" t="s">
        <v>134</v>
      </c>
      <c r="E64" s="255"/>
      <c r="F64" s="991">
        <v>360</v>
      </c>
      <c r="G64" s="248"/>
    </row>
    <row r="65" spans="1:14">
      <c r="A65" s="219"/>
      <c r="B65" s="13"/>
      <c r="C65" s="254">
        <v>61</v>
      </c>
      <c r="D65" s="306" t="s">
        <v>133</v>
      </c>
      <c r="E65" s="255"/>
      <c r="F65" s="989">
        <v>120</v>
      </c>
      <c r="G65" s="248"/>
    </row>
    <row r="66" spans="1:14">
      <c r="A66" s="219"/>
      <c r="B66" s="13"/>
      <c r="C66" s="254">
        <v>62</v>
      </c>
      <c r="D66" s="306" t="s">
        <v>169</v>
      </c>
      <c r="E66" s="307"/>
      <c r="F66" s="989"/>
      <c r="G66" s="248"/>
    </row>
    <row r="67" spans="1:14">
      <c r="A67" s="219"/>
      <c r="B67" s="11"/>
      <c r="C67" s="306">
        <v>63</v>
      </c>
      <c r="D67" s="306" t="s">
        <v>170</v>
      </c>
      <c r="E67" s="307"/>
      <c r="F67" s="989"/>
      <c r="G67" s="305"/>
    </row>
    <row r="68" spans="1:14">
      <c r="A68" s="219"/>
      <c r="B68" s="11"/>
      <c r="C68" s="254">
        <v>64</v>
      </c>
      <c r="D68" s="306" t="s">
        <v>171</v>
      </c>
      <c r="E68" s="307"/>
      <c r="F68" s="989"/>
      <c r="G68" s="248"/>
    </row>
    <row r="69" spans="1:14">
      <c r="A69" s="219"/>
      <c r="B69" s="13"/>
      <c r="C69" s="254">
        <v>65</v>
      </c>
      <c r="D69" s="306" t="s">
        <v>172</v>
      </c>
      <c r="E69" s="307"/>
      <c r="F69" s="989"/>
      <c r="G69" s="248"/>
    </row>
    <row r="70" spans="1:14">
      <c r="A70" s="219"/>
      <c r="B70" s="13"/>
      <c r="C70" s="254">
        <v>66</v>
      </c>
      <c r="D70" s="306" t="s">
        <v>173</v>
      </c>
      <c r="E70" s="307"/>
      <c r="F70" s="992"/>
      <c r="G70" s="248"/>
    </row>
    <row r="71" spans="1:14">
      <c r="A71" s="219"/>
      <c r="B71" s="230"/>
      <c r="C71" s="327"/>
      <c r="D71" s="327"/>
      <c r="E71" s="327"/>
      <c r="F71" s="327"/>
      <c r="G71" s="217"/>
    </row>
    <row r="74" spans="1:14">
      <c r="B74" s="249" t="str">
        <f>IF('F0b Planungsparameter'!$G$10="Ja","Hochgerechnete Bilanz Ende des Budgetjahres "&amp;TEXT(Budget1,0)&amp;" (nach Abschlussverbuchung)","Bilanz Ende des Rechnungsjahres "&amp;TEXT(Budget1,0)&amp;" (nach Abschlussverbuchung)")</f>
        <v>Hochgerechnete Bilanz Ende des Budgetjahres 2021 (nach Abschlussverbuchung)</v>
      </c>
      <c r="C74" s="319"/>
      <c r="D74" s="319"/>
      <c r="E74" s="319"/>
      <c r="F74" s="219"/>
      <c r="G74" s="319"/>
      <c r="H74" s="101"/>
    </row>
    <row r="75" spans="1:14">
      <c r="B75" s="249"/>
      <c r="C75" s="319"/>
      <c r="D75" s="319"/>
      <c r="E75" s="319"/>
      <c r="F75" s="219"/>
      <c r="G75" s="319"/>
      <c r="H75" s="101"/>
    </row>
    <row r="76" spans="1:14" ht="12.75">
      <c r="B76" s="16">
        <v>1</v>
      </c>
      <c r="C76" s="250" t="s">
        <v>43</v>
      </c>
      <c r="D76" s="316"/>
      <c r="E76" s="1075"/>
      <c r="F76" s="359">
        <f>F78+F80</f>
        <v>35683</v>
      </c>
      <c r="G76" s="360"/>
      <c r="H76" s="101"/>
      <c r="I76" s="86"/>
      <c r="J76" s="86"/>
      <c r="K76" s="86"/>
      <c r="L76" s="86"/>
      <c r="M76" s="86"/>
      <c r="N76" s="86"/>
    </row>
    <row r="77" spans="1:14">
      <c r="B77" s="11"/>
      <c r="C77" s="324"/>
      <c r="D77" s="319"/>
      <c r="E77" s="319"/>
      <c r="F77" s="361"/>
      <c r="G77" s="362"/>
      <c r="H77" s="101"/>
      <c r="I77" s="86"/>
      <c r="J77" s="86"/>
      <c r="K77" s="86"/>
      <c r="L77" s="86"/>
      <c r="M77" s="86"/>
      <c r="N77" s="86"/>
    </row>
    <row r="78" spans="1:14" ht="12.75">
      <c r="B78" s="13">
        <v>10</v>
      </c>
      <c r="C78" s="249" t="s">
        <v>44</v>
      </c>
      <c r="D78" s="321"/>
      <c r="E78" s="322"/>
      <c r="F78" s="363">
        <f>F10</f>
        <v>11706</v>
      </c>
      <c r="G78" s="362"/>
      <c r="H78" s="101"/>
      <c r="I78" s="86"/>
      <c r="J78" s="86"/>
      <c r="K78" s="86"/>
      <c r="L78" s="86"/>
      <c r="M78" s="86"/>
      <c r="N78" s="86"/>
    </row>
    <row r="79" spans="1:14">
      <c r="B79" s="13"/>
      <c r="C79" s="319"/>
      <c r="D79" s="319"/>
      <c r="E79" s="320"/>
      <c r="F79" s="364"/>
      <c r="G79" s="362"/>
      <c r="H79" s="101"/>
      <c r="I79" s="86"/>
      <c r="J79" s="86"/>
      <c r="K79" s="86"/>
      <c r="L79" s="86"/>
      <c r="M79" s="86"/>
      <c r="N79" s="86"/>
    </row>
    <row r="80" spans="1:14" ht="12.75">
      <c r="B80" s="13">
        <v>14</v>
      </c>
      <c r="C80" s="249" t="s">
        <v>22</v>
      </c>
      <c r="D80" s="321"/>
      <c r="E80" s="322"/>
      <c r="F80" s="365">
        <f>IF('F0b Planungsparameter'!$G$10="Ja",F20+F54-F63-'F1b Budget Aktuell'!G14,F20)</f>
        <v>23977</v>
      </c>
      <c r="G80" s="362"/>
      <c r="H80" s="101"/>
      <c r="I80" s="853">
        <f>I20+I54-I63-'F1b Budget Aktuell'!I14</f>
        <v>1272</v>
      </c>
      <c r="J80" s="853">
        <f>J20+J54-J63-'F1b Budget Aktuell'!J14</f>
        <v>8621</v>
      </c>
      <c r="K80" s="853">
        <f>K20+K54-K63-'F1b Budget Aktuell'!K14</f>
        <v>1369</v>
      </c>
      <c r="L80" s="853">
        <f>L20+L54-L63-'F1b Budget Aktuell'!L14</f>
        <v>1591</v>
      </c>
      <c r="M80" s="853">
        <f>M20+M54-M63-'F1b Budget Aktuell'!M14</f>
        <v>11124</v>
      </c>
      <c r="N80" s="853">
        <f>N20+N54-N63-'F1b Budget Aktuell'!N14</f>
        <v>0</v>
      </c>
    </row>
    <row r="81" spans="2:14">
      <c r="B81" s="13"/>
      <c r="C81" s="319"/>
      <c r="D81" s="319"/>
      <c r="E81" s="319"/>
      <c r="F81" s="366"/>
      <c r="G81" s="362"/>
      <c r="H81" s="101"/>
      <c r="I81" s="86"/>
      <c r="J81" s="86"/>
      <c r="K81" s="86"/>
      <c r="L81" s="86"/>
      <c r="M81" s="86"/>
      <c r="N81" s="86"/>
    </row>
    <row r="82" spans="2:14">
      <c r="B82" s="318"/>
      <c r="C82" s="328"/>
      <c r="D82" s="328"/>
      <c r="E82" s="328"/>
      <c r="F82" s="367"/>
      <c r="G82" s="329"/>
      <c r="H82" s="101"/>
      <c r="I82" s="86"/>
      <c r="J82" s="86"/>
      <c r="K82" s="86"/>
      <c r="L82" s="86"/>
      <c r="M82" s="86"/>
      <c r="N82" s="86"/>
    </row>
    <row r="83" spans="2:14">
      <c r="B83" s="219"/>
      <c r="C83" s="219"/>
      <c r="D83" s="219"/>
      <c r="E83" s="219"/>
      <c r="F83" s="361"/>
      <c r="G83" s="361"/>
      <c r="H83" s="361"/>
      <c r="I83" s="86"/>
      <c r="J83" s="86"/>
      <c r="K83" s="86"/>
      <c r="L83" s="86"/>
      <c r="M83" s="86"/>
      <c r="N83" s="86"/>
    </row>
    <row r="84" spans="2:14">
      <c r="B84" s="219"/>
      <c r="C84" s="219"/>
      <c r="D84" s="219"/>
      <c r="E84" s="219"/>
      <c r="F84" s="361"/>
      <c r="G84" s="361"/>
      <c r="H84" s="361"/>
      <c r="I84" s="86"/>
      <c r="J84" s="86"/>
      <c r="K84" s="86"/>
      <c r="L84" s="86"/>
      <c r="M84" s="86"/>
      <c r="N84" s="86"/>
    </row>
    <row r="85" spans="2:14" ht="12.75">
      <c r="B85" s="16">
        <v>2</v>
      </c>
      <c r="C85" s="250" t="s">
        <v>16</v>
      </c>
      <c r="D85" s="316"/>
      <c r="E85" s="317"/>
      <c r="F85" s="368">
        <f>F76</f>
        <v>35683</v>
      </c>
      <c r="G85" s="360"/>
      <c r="H85" s="361"/>
      <c r="I85" s="86"/>
      <c r="J85" s="86"/>
      <c r="K85" s="86"/>
      <c r="L85" s="86"/>
      <c r="M85" s="86"/>
      <c r="N85" s="86"/>
    </row>
    <row r="86" spans="2:14">
      <c r="B86" s="11"/>
      <c r="C86" s="324"/>
      <c r="D86" s="319"/>
      <c r="E86" s="319"/>
      <c r="F86" s="361"/>
      <c r="G86" s="362"/>
      <c r="H86" s="361"/>
      <c r="I86" s="86"/>
      <c r="J86" s="86"/>
      <c r="K86" s="86"/>
      <c r="L86" s="86"/>
      <c r="M86" s="86"/>
      <c r="N86" s="86"/>
    </row>
    <row r="87" spans="2:14" ht="12.75">
      <c r="B87" s="13">
        <v>20</v>
      </c>
      <c r="C87" s="249" t="s">
        <v>24</v>
      </c>
      <c r="E87" s="322"/>
      <c r="F87" s="369">
        <f>F85-F89</f>
        <v>12360</v>
      </c>
      <c r="G87" s="362"/>
      <c r="H87" s="361"/>
      <c r="I87" s="86"/>
      <c r="J87" s="86"/>
      <c r="K87" s="86"/>
      <c r="L87" s="86"/>
      <c r="M87" s="86"/>
      <c r="N87" s="86"/>
    </row>
    <row r="88" spans="2:14">
      <c r="B88" s="13"/>
      <c r="D88" s="319"/>
      <c r="E88" s="319"/>
      <c r="F88" s="370"/>
      <c r="G88" s="362"/>
      <c r="H88" s="361"/>
      <c r="I88" s="86"/>
      <c r="J88" s="86"/>
      <c r="K88" s="86"/>
      <c r="L88" s="86"/>
      <c r="M88" s="86"/>
      <c r="N88" s="86"/>
    </row>
    <row r="89" spans="2:14" ht="12.75">
      <c r="B89" s="13">
        <v>29</v>
      </c>
      <c r="C89" s="326" t="s">
        <v>111</v>
      </c>
      <c r="D89" s="315"/>
      <c r="E89" s="322"/>
      <c r="F89" s="371">
        <f>SUM(F90:F94)</f>
        <v>23323</v>
      </c>
      <c r="G89" s="362"/>
      <c r="H89" s="361"/>
      <c r="I89" s="86"/>
      <c r="J89" s="86"/>
      <c r="K89" s="86"/>
      <c r="L89" s="86"/>
      <c r="M89" s="86"/>
      <c r="N89" s="86"/>
    </row>
    <row r="90" spans="2:14">
      <c r="B90" s="11"/>
      <c r="C90" s="324">
        <v>290</v>
      </c>
      <c r="D90" s="324" t="s">
        <v>103</v>
      </c>
      <c r="E90" s="325"/>
      <c r="F90" s="370">
        <f>IF('F0b Planungsparameter'!$G$10="Ja",'F1a Ausgangsbilanz'!F43+'F1b Budget Aktuell'!G21-'F1b Budget Aktuell'!G49,F43)</f>
        <v>10342</v>
      </c>
      <c r="G90" s="362"/>
      <c r="H90" s="101"/>
      <c r="I90" s="854">
        <f>'F1a Ausgangsbilanz'!I43+'F1b Budget Aktuell'!I21-'F1b Budget Aktuell'!I49</f>
        <v>0</v>
      </c>
      <c r="J90" s="854">
        <f>'F1a Ausgangsbilanz'!J43+'F1b Budget Aktuell'!J21-'F1b Budget Aktuell'!J49</f>
        <v>0</v>
      </c>
      <c r="K90" s="854">
        <f>'F1a Ausgangsbilanz'!K43+'F1b Budget Aktuell'!K21-'F1b Budget Aktuell'!K49</f>
        <v>0</v>
      </c>
      <c r="L90" s="854">
        <f>'F1a Ausgangsbilanz'!L43+'F1b Budget Aktuell'!L21-'F1b Budget Aktuell'!L49</f>
        <v>2469</v>
      </c>
      <c r="M90" s="854">
        <f>'F1a Ausgangsbilanz'!M43+'F1b Budget Aktuell'!M21-'F1b Budget Aktuell'!M49</f>
        <v>7873</v>
      </c>
      <c r="N90" s="854">
        <f>'F1a Ausgangsbilanz'!N43+'F1b Budget Aktuell'!N21-'F1b Budget Aktuell'!N49</f>
        <v>0</v>
      </c>
    </row>
    <row r="91" spans="2:14">
      <c r="B91" s="11"/>
      <c r="C91" s="324">
        <v>291</v>
      </c>
      <c r="D91" s="324" t="s">
        <v>104</v>
      </c>
      <c r="E91" s="325"/>
      <c r="F91" s="611">
        <f>IF('F0b Planungsparameter'!$G$10="Ja",'F1a Ausgangsbilanz'!F44+'F1b Budget Aktuell'!G22+'F1b Budget Aktuell'!G23-'F1b Budget Aktuell'!G50-'F1b Budget Aktuell'!G51,F44)</f>
        <v>0</v>
      </c>
      <c r="G91" s="362"/>
      <c r="H91" s="101"/>
      <c r="I91" s="372">
        <f>'F1a Ausgangsbilanz'!I44+'F1b Budget Aktuell'!I22+'F1b Budget Aktuell'!I23-'F1b Budget Aktuell'!I50-'F1b Budget Aktuell'!I51</f>
        <v>0</v>
      </c>
      <c r="J91" s="372">
        <f>'F1a Ausgangsbilanz'!J44+'F1b Budget Aktuell'!J22+'F1b Budget Aktuell'!J23-'F1b Budget Aktuell'!J50-'F1b Budget Aktuell'!J51</f>
        <v>0</v>
      </c>
      <c r="K91" s="372">
        <f>'F1a Ausgangsbilanz'!K44+'F1b Budget Aktuell'!K22+'F1b Budget Aktuell'!K23-'F1b Budget Aktuell'!K50-'F1b Budget Aktuell'!K51</f>
        <v>0</v>
      </c>
      <c r="L91" s="372">
        <f>'F1a Ausgangsbilanz'!L44+'F1b Budget Aktuell'!L22+'F1b Budget Aktuell'!L23-'F1b Budget Aktuell'!L50-'F1b Budget Aktuell'!L51</f>
        <v>0</v>
      </c>
      <c r="M91" s="372">
        <f>'F1a Ausgangsbilanz'!M44+'F1b Budget Aktuell'!M22+'F1b Budget Aktuell'!M23-'F1b Budget Aktuell'!M50-'F1b Budget Aktuell'!M51</f>
        <v>0</v>
      </c>
      <c r="N91" s="372">
        <f>'F1a Ausgangsbilanz'!N44+'F1b Budget Aktuell'!N22+'F1b Budget Aktuell'!N23-'F1b Budget Aktuell'!N50-'F1b Budget Aktuell'!N51</f>
        <v>0</v>
      </c>
    </row>
    <row r="92" spans="2:14">
      <c r="B92" s="11"/>
      <c r="C92" s="324">
        <v>295</v>
      </c>
      <c r="D92" s="324" t="s">
        <v>112</v>
      </c>
      <c r="E92" s="325"/>
      <c r="F92" s="370">
        <f>IF('F0b Planungsparameter'!$G$10="Ja",F45-'F1b Budget Aktuell'!G56,F45)</f>
        <v>0</v>
      </c>
      <c r="G92" s="362"/>
      <c r="H92" s="101"/>
      <c r="I92" s="86"/>
      <c r="J92" s="86"/>
      <c r="K92" s="86"/>
      <c r="L92" s="86"/>
      <c r="M92" s="86"/>
      <c r="N92" s="86"/>
    </row>
    <row r="93" spans="2:14">
      <c r="B93" s="11"/>
      <c r="C93" s="324">
        <v>298</v>
      </c>
      <c r="D93" s="324" t="s">
        <v>105</v>
      </c>
      <c r="E93" s="325"/>
      <c r="F93" s="370">
        <f>F46</f>
        <v>0</v>
      </c>
      <c r="G93" s="362"/>
      <c r="H93" s="361"/>
      <c r="I93" s="86"/>
      <c r="J93" s="86"/>
      <c r="K93" s="86"/>
      <c r="L93" s="86"/>
      <c r="M93" s="86"/>
      <c r="N93" s="86"/>
    </row>
    <row r="94" spans="2:14">
      <c r="B94" s="13"/>
      <c r="C94" s="324">
        <v>299</v>
      </c>
      <c r="D94" s="324" t="s">
        <v>113</v>
      </c>
      <c r="E94" s="325"/>
      <c r="F94" s="370">
        <f>IF('F0b Planungsparameter'!$G$10="Ja",F47+'F1b Budget Aktuell'!G65,F47)</f>
        <v>12981</v>
      </c>
      <c r="G94" s="362"/>
      <c r="H94" s="361"/>
      <c r="I94" s="86"/>
      <c r="J94" s="86"/>
      <c r="K94" s="86"/>
      <c r="L94" s="86"/>
      <c r="M94" s="86"/>
      <c r="N94" s="86"/>
    </row>
    <row r="95" spans="2:14">
      <c r="B95" s="323"/>
      <c r="C95" s="319"/>
      <c r="D95" s="319"/>
      <c r="E95" s="319"/>
      <c r="F95" s="366"/>
      <c r="G95" s="362"/>
      <c r="H95" s="361"/>
      <c r="I95" s="86"/>
      <c r="J95" s="86"/>
      <c r="K95" s="86"/>
      <c r="L95" s="86"/>
      <c r="M95" s="86"/>
      <c r="N95" s="86"/>
    </row>
    <row r="96" spans="2:14">
      <c r="B96" s="318"/>
      <c r="C96" s="328"/>
      <c r="D96" s="328"/>
      <c r="E96" s="328"/>
      <c r="F96" s="367"/>
      <c r="G96" s="329"/>
      <c r="H96" s="361"/>
      <c r="I96" s="86"/>
      <c r="J96" s="86"/>
      <c r="K96" s="86"/>
      <c r="L96" s="86"/>
      <c r="M96" s="86"/>
      <c r="N96" s="86"/>
    </row>
    <row r="97" spans="2:14">
      <c r="F97" s="101"/>
      <c r="G97" s="373"/>
      <c r="H97" s="101"/>
      <c r="I97" s="86"/>
      <c r="J97" s="86"/>
      <c r="K97" s="86"/>
      <c r="L97" s="86"/>
      <c r="M97" s="86"/>
      <c r="N97" s="86"/>
    </row>
    <row r="98" spans="2:14" ht="12.75">
      <c r="B98" s="1401"/>
      <c r="C98" s="1402"/>
      <c r="D98" s="1402"/>
      <c r="E98" s="1402"/>
      <c r="F98" s="1076"/>
      <c r="G98" s="373"/>
      <c r="H98" s="101"/>
      <c r="I98" s="86"/>
      <c r="J98" s="86"/>
      <c r="K98" s="86"/>
      <c r="L98" s="86"/>
      <c r="M98" s="86"/>
      <c r="N98" s="86"/>
    </row>
  </sheetData>
  <dataConsolidate/>
  <mergeCells count="1">
    <mergeCell ref="B98:E98"/>
  </mergeCells>
  <phoneticPr fontId="2" type="noConversion"/>
  <pageMargins left="0.59055118110236204" right="0.59055118110236204" top="0.59055118110236204" bottom="0.78740157480314998" header="0.511811023622047" footer="0.511811023622047"/>
  <pageSetup paperSize="9" scale="83" fitToWidth="5" fitToHeight="2" orientation="landscape" cellComments="asDisplayed" r:id="rId1"/>
  <headerFooter>
    <oddFooter>&amp;L&amp;8&amp;K000000© Legrafin                 &amp;D / &amp;T&amp;C&amp;8&amp;K000000Seite  &amp;P&amp;R&amp;8&amp;K000000&amp;F</oddFooter>
  </headerFooter>
  <rowBreaks count="1" manualBreakCount="1">
    <brk id="51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73"/>
  <sheetViews>
    <sheetView zoomScale="144" zoomScaleNormal="144" workbookViewId="0">
      <pane xSplit="8" ySplit="9" topLeftCell="I32" activePane="bottomRight" state="frozenSplit"/>
      <selection pane="topRight" activeCell="I1" sqref="I1"/>
      <selection pane="bottomLeft" activeCell="A10" sqref="A10"/>
      <selection pane="bottomRight" activeCell="B1" sqref="B1:N67"/>
    </sheetView>
  </sheetViews>
  <sheetFormatPr baseColWidth="10" defaultColWidth="11.42578125" defaultRowHeight="11.25"/>
  <cols>
    <col min="1" max="1" width="0.85546875" style="1" customWidth="1"/>
    <col min="2" max="2" width="2.7109375" style="1" customWidth="1"/>
    <col min="3" max="3" width="4.7109375" style="1" customWidth="1"/>
    <col min="4" max="4" width="1.7109375" style="1" customWidth="1"/>
    <col min="5" max="5" width="16.85546875" style="1" customWidth="1"/>
    <col min="6" max="6" width="15.42578125" style="1" customWidth="1"/>
    <col min="7" max="7" width="7.28515625" style="17" customWidth="1"/>
    <col min="8" max="8" width="5.28515625" style="1" customWidth="1"/>
    <col min="9" max="9" width="7.28515625" style="1" customWidth="1"/>
    <col min="10" max="14" width="7.28515625" style="208" customWidth="1"/>
    <col min="15" max="16384" width="11.42578125" style="1"/>
  </cols>
  <sheetData>
    <row r="1" spans="1:14" s="36" customFormat="1" ht="12">
      <c r="B1" s="712" t="str">
        <f>"Aufgaben- und Finanzplan "&amp;TEXT(Budget2,0)&amp;" - "&amp;TEXT(Finz1+4,0)</f>
        <v>Aufgaben- und Finanzplan 2022 - 2027</v>
      </c>
      <c r="C1" s="712"/>
      <c r="D1" s="712"/>
      <c r="E1" s="712"/>
      <c r="F1" s="712"/>
      <c r="G1" s="245" t="str">
        <f>"Gemeinde "&amp;TEXT(Gemeinde,0)</f>
        <v>Gemeinde Menznau</v>
      </c>
      <c r="H1" s="712"/>
    </row>
    <row r="2" spans="1:14" ht="6" customHeight="1">
      <c r="G2" s="1"/>
    </row>
    <row r="3" spans="1:14" s="14" customFormat="1" ht="12.75">
      <c r="A3" s="73"/>
      <c r="B3" s="1371" t="str">
        <f>IF('F0b Planungsparameter'!$G$10="Ja","Formular 1b: Erfolgsrechnung für das laufende Budgetjahr","Formular 1b:  Erfolgsrechnung des letzten Rechnungsjahres")</f>
        <v>Formular 1b: Erfolgsrechnung für das laufende Budgetjahr</v>
      </c>
      <c r="C3" s="1371"/>
      <c r="D3" s="1372"/>
      <c r="E3" s="1372"/>
      <c r="F3" s="1372"/>
      <c r="G3" s="1372"/>
      <c r="H3" s="1372"/>
      <c r="I3" s="262"/>
      <c r="J3" s="262"/>
      <c r="K3" s="262"/>
      <c r="L3" s="262"/>
    </row>
    <row r="4" spans="1:14" ht="6" customHeight="1"/>
    <row r="5" spans="1:14" ht="12.75">
      <c r="B5" s="1409" t="str">
        <f>IF('F0b Planungsparameter'!$G$10="Ja","Budget der Erfolgsrechnung des Jahres "&amp;TEXT(Budget1,0),"Erfolgsrechnung des Jahres "&amp;TEXT(Budget1,0))</f>
        <v>Budget der Erfolgsrechnung des Jahres 2021</v>
      </c>
      <c r="C5" s="1380"/>
      <c r="D5" s="1380"/>
      <c r="E5" s="1380"/>
      <c r="F5" s="1380"/>
      <c r="G5" s="1403" t="s">
        <v>2</v>
      </c>
      <c r="H5" s="1403"/>
      <c r="I5" s="1403"/>
    </row>
    <row r="6" spans="1:14" s="208" customFormat="1" ht="6" customHeight="1">
      <c r="B6" s="374"/>
      <c r="C6" s="113"/>
      <c r="D6" s="113"/>
      <c r="E6" s="375"/>
      <c r="F6" s="375"/>
      <c r="G6" s="376"/>
      <c r="H6" s="353"/>
      <c r="I6" s="377"/>
      <c r="J6" s="377"/>
      <c r="K6" s="377"/>
      <c r="L6" s="377"/>
      <c r="M6" s="377"/>
      <c r="N6" s="377"/>
    </row>
    <row r="7" spans="1:14" s="208" customFormat="1" ht="11.1" customHeight="1">
      <c r="B7" s="374"/>
      <c r="C7" s="113"/>
      <c r="D7" s="113"/>
      <c r="E7" s="375"/>
      <c r="F7" s="375"/>
      <c r="G7" s="379" t="s">
        <v>106</v>
      </c>
      <c r="H7" s="358"/>
      <c r="I7" s="380" t="str">
        <f>IF('F0a Konfiguration'!$C$11="","",'F0a Konfiguration'!$C$11)</f>
        <v>AB1</v>
      </c>
      <c r="J7" s="380" t="str">
        <f>IF('F0a Konfiguration'!$C$12="","",'F0a Konfiguration'!$C$12)</f>
        <v>AB2</v>
      </c>
      <c r="K7" s="380" t="str">
        <f>IF('F0a Konfiguration'!$C$13="","",'F0a Konfiguration'!$C$13)</f>
        <v>AB3</v>
      </c>
      <c r="L7" s="380" t="str">
        <f>IF('F0a Konfiguration'!$C$14="","",'F0a Konfiguration'!$C$14)</f>
        <v>AB4</v>
      </c>
      <c r="M7" s="380" t="str">
        <f>IF('F0a Konfiguration'!$C$15="","",'F0a Konfiguration'!$C$15)</f>
        <v>AB5</v>
      </c>
      <c r="N7" s="380" t="str">
        <f>IF('F0a Konfiguration'!$C$16="","",'F0a Konfiguration'!$C$16)</f>
        <v>AB6</v>
      </c>
    </row>
    <row r="8" spans="1:14" s="208" customFormat="1" ht="11.1" customHeight="1">
      <c r="B8" s="374"/>
      <c r="C8" s="113"/>
      <c r="D8" s="113"/>
      <c r="E8" s="375"/>
      <c r="F8" s="375"/>
      <c r="G8" s="379" t="s">
        <v>20</v>
      </c>
      <c r="H8" s="358"/>
      <c r="I8" s="380" t="str">
        <f>IF('F0a Konfiguration'!$G$11="","",'F0a Konfiguration'!$G$11)</f>
        <v>Verwaltung</v>
      </c>
      <c r="J8" s="380" t="str">
        <f>IF('F0a Konfiguration'!$G$12="","",'F0a Konfiguration'!$G$12)</f>
        <v>Bildung</v>
      </c>
      <c r="K8" s="380" t="str">
        <f>IF('F0a Konfiguration'!$G$13="","",'F0a Konfiguration'!$G$13)</f>
        <v>Freizeit</v>
      </c>
      <c r="L8" s="380" t="str">
        <f>IF('F0a Konfiguration'!$G$14="","",'F0a Konfiguration'!$G$14)</f>
        <v>Soziales</v>
      </c>
      <c r="M8" s="380" t="str">
        <f>IF('F0a Konfiguration'!$G$15="","",'F0a Konfiguration'!$G$15)</f>
        <v>Infrastruktur</v>
      </c>
      <c r="N8" s="380" t="str">
        <f>IF('F0a Konfiguration'!$G$16="","",'F0a Konfiguration'!$G$16)</f>
        <v>Finanzen</v>
      </c>
    </row>
    <row r="9" spans="1:14" s="208" customFormat="1" ht="6" customHeight="1">
      <c r="B9" s="374"/>
      <c r="C9" s="113"/>
      <c r="D9" s="113"/>
      <c r="E9" s="375"/>
      <c r="F9" s="375"/>
      <c r="G9" s="379"/>
      <c r="H9" s="358"/>
      <c r="I9" s="381"/>
      <c r="J9" s="381"/>
      <c r="K9" s="381"/>
      <c r="L9" s="381"/>
      <c r="M9" s="381"/>
      <c r="N9" s="381"/>
    </row>
    <row r="10" spans="1:14" s="208" customFormat="1" ht="11.1" customHeight="1">
      <c r="B10" s="374">
        <v>3</v>
      </c>
      <c r="C10" s="383"/>
      <c r="D10" s="1406" t="s">
        <v>23</v>
      </c>
      <c r="E10" s="1407"/>
      <c r="F10" s="1408"/>
      <c r="G10" s="384">
        <f>SUM(G12:G15)+G19+G24+SUM(G27:G29)</f>
        <v>23944</v>
      </c>
      <c r="H10" s="1008" t="str">
        <f>IF(SUM(I10:Q10)-G10=0,"",SUM(I10:Q10)-G10)</f>
        <v/>
      </c>
      <c r="I10" s="384">
        <f>SUM(I12:I15)+I19+I24+SUM(I27:I29)</f>
        <v>1486</v>
      </c>
      <c r="J10" s="384">
        <f t="shared" ref="J10:N10" si="0">SUM(J12:J15)+J19+J24+SUM(J27:J29)</f>
        <v>8220</v>
      </c>
      <c r="K10" s="384">
        <f t="shared" si="0"/>
        <v>498</v>
      </c>
      <c r="L10" s="384">
        <f t="shared" si="0"/>
        <v>10224</v>
      </c>
      <c r="M10" s="384">
        <f t="shared" si="0"/>
        <v>3229</v>
      </c>
      <c r="N10" s="384">
        <f t="shared" si="0"/>
        <v>287</v>
      </c>
    </row>
    <row r="11" spans="1:14" ht="6" customHeight="1">
      <c r="B11" s="387"/>
      <c r="C11" s="388"/>
      <c r="D11" s="388"/>
      <c r="E11" s="85"/>
      <c r="F11" s="85"/>
      <c r="G11" s="379"/>
      <c r="H11" s="358"/>
      <c r="I11" s="379"/>
      <c r="J11" s="379"/>
      <c r="K11" s="379"/>
      <c r="L11" s="379"/>
      <c r="M11" s="379"/>
      <c r="N11" s="379"/>
    </row>
    <row r="12" spans="1:14" ht="11.1" customHeight="1">
      <c r="B12" s="164">
        <v>30</v>
      </c>
      <c r="C12" s="165"/>
      <c r="D12" s="1410" t="s">
        <v>29</v>
      </c>
      <c r="E12" s="1410"/>
      <c r="F12" s="1411"/>
      <c r="G12" s="997">
        <v>10566</v>
      </c>
      <c r="H12" s="1008" t="str">
        <f t="shared" ref="H12:H30" si="1">IF(SUM(I12:Q12)-G12=0,"",SUM(I12:Q12)-G12)</f>
        <v/>
      </c>
      <c r="I12" s="1001">
        <v>789</v>
      </c>
      <c r="J12" s="1001">
        <v>4366</v>
      </c>
      <c r="K12" s="1001">
        <v>94</v>
      </c>
      <c r="L12" s="1001">
        <v>4728</v>
      </c>
      <c r="M12" s="1001">
        <v>576</v>
      </c>
      <c r="N12" s="1344">
        <v>13</v>
      </c>
    </row>
    <row r="13" spans="1:14" ht="11.1" customHeight="1">
      <c r="B13" s="164">
        <v>31</v>
      </c>
      <c r="C13" s="165"/>
      <c r="D13" s="1410" t="s">
        <v>85</v>
      </c>
      <c r="E13" s="1410"/>
      <c r="F13" s="1411"/>
      <c r="G13" s="998">
        <v>3443</v>
      </c>
      <c r="H13" s="1008" t="str">
        <f t="shared" si="1"/>
        <v/>
      </c>
      <c r="I13" s="1002">
        <v>244</v>
      </c>
      <c r="J13" s="1002">
        <v>688</v>
      </c>
      <c r="K13" s="1002">
        <v>82</v>
      </c>
      <c r="L13" s="1002">
        <v>937</v>
      </c>
      <c r="M13" s="1002">
        <v>1394</v>
      </c>
      <c r="N13" s="998">
        <v>98</v>
      </c>
    </row>
    <row r="14" spans="1:14" ht="11.1" customHeight="1">
      <c r="B14" s="164">
        <v>33</v>
      </c>
      <c r="C14" s="165"/>
      <c r="D14" s="1410" t="s">
        <v>86</v>
      </c>
      <c r="E14" s="1410"/>
      <c r="F14" s="1411"/>
      <c r="G14" s="998">
        <v>1255</v>
      </c>
      <c r="H14" s="1008" t="str">
        <f t="shared" si="1"/>
        <v/>
      </c>
      <c r="I14" s="1002">
        <v>105</v>
      </c>
      <c r="J14" s="1002">
        <v>460</v>
      </c>
      <c r="K14" s="1002">
        <v>15</v>
      </c>
      <c r="L14" s="1002">
        <v>320</v>
      </c>
      <c r="M14" s="1002">
        <v>355</v>
      </c>
      <c r="N14" s="998">
        <v>0</v>
      </c>
    </row>
    <row r="15" spans="1:14" ht="11.1" customHeight="1">
      <c r="B15" s="164">
        <v>34</v>
      </c>
      <c r="C15" s="165"/>
      <c r="D15" s="1410" t="s">
        <v>87</v>
      </c>
      <c r="E15" s="1410"/>
      <c r="F15" s="1411"/>
      <c r="G15" s="998">
        <v>20</v>
      </c>
      <c r="H15" s="1008" t="str">
        <f t="shared" si="1"/>
        <v/>
      </c>
      <c r="I15" s="1002"/>
      <c r="J15" s="1002"/>
      <c r="K15" s="1002"/>
      <c r="L15" s="1002">
        <v>1</v>
      </c>
      <c r="M15" s="1002"/>
      <c r="N15" s="998">
        <v>19</v>
      </c>
    </row>
    <row r="16" spans="1:14" s="208" customFormat="1" ht="11.1" customHeight="1">
      <c r="B16" s="1272"/>
      <c r="C16" s="662">
        <v>340</v>
      </c>
      <c r="D16" s="663" t="s">
        <v>357</v>
      </c>
      <c r="E16" s="663"/>
      <c r="F16" s="1259"/>
      <c r="G16" s="999">
        <v>19</v>
      </c>
      <c r="H16" s="1008" t="str">
        <f t="shared" si="1"/>
        <v/>
      </c>
      <c r="I16" s="1003"/>
      <c r="J16" s="1003"/>
      <c r="K16" s="1003"/>
      <c r="L16" s="1003">
        <v>1</v>
      </c>
      <c r="M16" s="1003"/>
      <c r="N16" s="999">
        <v>18</v>
      </c>
    </row>
    <row r="17" spans="2:14" s="606" customFormat="1" ht="11.1" customHeight="1">
      <c r="B17" s="607"/>
      <c r="C17" s="603">
        <v>341</v>
      </c>
      <c r="D17" s="604" t="s">
        <v>209</v>
      </c>
      <c r="E17" s="604"/>
      <c r="F17" s="605"/>
      <c r="G17" s="999"/>
      <c r="H17" s="1008" t="str">
        <f t="shared" si="1"/>
        <v/>
      </c>
      <c r="I17" s="1003"/>
      <c r="J17" s="1003"/>
      <c r="K17" s="1003"/>
      <c r="L17" s="1003"/>
      <c r="M17" s="1003"/>
      <c r="N17" s="999"/>
    </row>
    <row r="18" spans="2:14" s="606" customFormat="1" ht="11.1" customHeight="1">
      <c r="B18" s="607"/>
      <c r="C18" s="603" t="s">
        <v>206</v>
      </c>
      <c r="D18" s="604" t="s">
        <v>210</v>
      </c>
      <c r="E18" s="604"/>
      <c r="F18" s="605"/>
      <c r="G18" s="999"/>
      <c r="H18" s="1008" t="str">
        <f t="shared" si="1"/>
        <v/>
      </c>
      <c r="I18" s="1003"/>
      <c r="J18" s="1003"/>
      <c r="K18" s="1003"/>
      <c r="L18" s="1003"/>
      <c r="M18" s="1003"/>
      <c r="N18" s="999"/>
    </row>
    <row r="19" spans="2:14" ht="11.1" customHeight="1">
      <c r="B19" s="164">
        <v>35</v>
      </c>
      <c r="C19" s="165"/>
      <c r="D19" s="1410" t="s">
        <v>178</v>
      </c>
      <c r="E19" s="1410"/>
      <c r="F19" s="1411"/>
      <c r="G19" s="998">
        <v>1</v>
      </c>
      <c r="H19" s="1008" t="str">
        <f t="shared" si="1"/>
        <v/>
      </c>
      <c r="I19" s="1002"/>
      <c r="J19" s="1002"/>
      <c r="K19" s="1002"/>
      <c r="L19" s="1002"/>
      <c r="M19" s="1002">
        <v>1</v>
      </c>
      <c r="N19" s="998"/>
    </row>
    <row r="20" spans="2:14" s="606" customFormat="1" ht="11.1" customHeight="1">
      <c r="B20" s="615"/>
      <c r="C20" s="603">
        <v>350</v>
      </c>
      <c r="D20" s="604" t="s">
        <v>199</v>
      </c>
      <c r="E20" s="604"/>
      <c r="F20" s="605"/>
      <c r="G20" s="999"/>
      <c r="H20" s="1008" t="str">
        <f t="shared" si="1"/>
        <v/>
      </c>
      <c r="I20" s="1003"/>
      <c r="J20" s="1003"/>
      <c r="K20" s="1003"/>
      <c r="L20" s="1003"/>
      <c r="M20" s="1003"/>
      <c r="N20" s="999"/>
    </row>
    <row r="21" spans="2:14" s="606" customFormat="1" ht="11.1" customHeight="1">
      <c r="B21" s="615"/>
      <c r="C21" s="603">
        <v>3510</v>
      </c>
      <c r="D21" s="604" t="s">
        <v>204</v>
      </c>
      <c r="E21" s="604"/>
      <c r="F21" s="605"/>
      <c r="G21" s="999">
        <v>1</v>
      </c>
      <c r="H21" s="1008" t="str">
        <f t="shared" si="1"/>
        <v/>
      </c>
      <c r="I21" s="1003"/>
      <c r="J21" s="1003"/>
      <c r="K21" s="1003"/>
      <c r="L21" s="1003"/>
      <c r="M21" s="1003">
        <v>1</v>
      </c>
      <c r="N21" s="999"/>
    </row>
    <row r="22" spans="2:14" s="606" customFormat="1" ht="11.1" customHeight="1">
      <c r="B22" s="615"/>
      <c r="C22" s="603">
        <v>3511</v>
      </c>
      <c r="D22" s="930" t="s">
        <v>205</v>
      </c>
      <c r="E22" s="930"/>
      <c r="F22" s="931"/>
      <c r="G22" s="999"/>
      <c r="H22" s="1008" t="str">
        <f t="shared" si="1"/>
        <v/>
      </c>
      <c r="I22" s="1003"/>
      <c r="J22" s="1003"/>
      <c r="K22" s="1003"/>
      <c r="L22" s="1003"/>
      <c r="M22" s="1003"/>
      <c r="N22" s="999"/>
    </row>
    <row r="23" spans="2:14" s="606" customFormat="1" ht="11.1" customHeight="1">
      <c r="B23" s="615"/>
      <c r="C23" s="603">
        <v>3512</v>
      </c>
      <c r="D23" s="604" t="s">
        <v>292</v>
      </c>
      <c r="E23" s="604"/>
      <c r="F23" s="605"/>
      <c r="G23" s="999"/>
      <c r="H23" s="1008" t="str">
        <f t="shared" si="1"/>
        <v/>
      </c>
      <c r="I23" s="1003"/>
      <c r="J23" s="1003"/>
      <c r="K23" s="1003"/>
      <c r="L23" s="1003"/>
      <c r="M23" s="1003"/>
      <c r="N23" s="999"/>
    </row>
    <row r="24" spans="2:14" ht="11.1" customHeight="1">
      <c r="B24" s="164">
        <v>36</v>
      </c>
      <c r="C24" s="165"/>
      <c r="D24" s="1410" t="s">
        <v>88</v>
      </c>
      <c r="E24" s="1410"/>
      <c r="F24" s="1411"/>
      <c r="G24" s="998">
        <v>5916</v>
      </c>
      <c r="H24" s="1008" t="str">
        <f t="shared" si="1"/>
        <v/>
      </c>
      <c r="I24" s="1002">
        <v>81</v>
      </c>
      <c r="J24" s="1002">
        <v>973</v>
      </c>
      <c r="K24" s="1002">
        <v>38</v>
      </c>
      <c r="L24" s="1002">
        <v>4165</v>
      </c>
      <c r="M24" s="1002">
        <v>604</v>
      </c>
      <c r="N24" s="998">
        <v>55</v>
      </c>
    </row>
    <row r="25" spans="2:14" s="606" customFormat="1" ht="11.1" customHeight="1">
      <c r="B25" s="609"/>
      <c r="C25" s="610">
        <v>362</v>
      </c>
      <c r="D25" s="608"/>
      <c r="E25" s="1404" t="s">
        <v>174</v>
      </c>
      <c r="F25" s="1405"/>
      <c r="G25" s="595">
        <f>'F0b Planungsparameter'!G60</f>
        <v>55</v>
      </c>
      <c r="H25" s="1008" t="str">
        <f t="shared" si="1"/>
        <v/>
      </c>
      <c r="I25" s="1003"/>
      <c r="J25" s="1003"/>
      <c r="K25" s="1003"/>
      <c r="L25" s="1003"/>
      <c r="M25" s="1003"/>
      <c r="N25" s="999">
        <v>55</v>
      </c>
    </row>
    <row r="26" spans="2:14" s="606" customFormat="1" ht="11.1" customHeight="1">
      <c r="B26" s="609"/>
      <c r="C26" s="610">
        <v>366</v>
      </c>
      <c r="D26" s="608"/>
      <c r="E26" s="1404" t="s">
        <v>320</v>
      </c>
      <c r="F26" s="1405"/>
      <c r="G26" s="999"/>
      <c r="H26" s="1008" t="str">
        <f t="shared" si="1"/>
        <v/>
      </c>
      <c r="I26" s="1003"/>
      <c r="J26" s="1003"/>
      <c r="K26" s="1003"/>
      <c r="L26" s="1003"/>
      <c r="M26" s="1003"/>
      <c r="N26" s="999"/>
    </row>
    <row r="27" spans="2:14" ht="11.1" customHeight="1">
      <c r="B27" s="164">
        <v>37</v>
      </c>
      <c r="C27" s="165"/>
      <c r="D27" s="1410" t="s">
        <v>25</v>
      </c>
      <c r="E27" s="1410"/>
      <c r="F27" s="1411"/>
      <c r="G27" s="998"/>
      <c r="H27" s="1008" t="str">
        <f t="shared" si="1"/>
        <v/>
      </c>
      <c r="I27" s="1002"/>
      <c r="J27" s="1002"/>
      <c r="K27" s="1002"/>
      <c r="L27" s="1002"/>
      <c r="M27" s="1002"/>
      <c r="N27" s="998"/>
    </row>
    <row r="28" spans="2:14" ht="11.1" customHeight="1">
      <c r="B28" s="164">
        <v>38</v>
      </c>
      <c r="C28" s="165"/>
      <c r="D28" s="1410" t="s">
        <v>89</v>
      </c>
      <c r="E28" s="1410"/>
      <c r="F28" s="1411"/>
      <c r="G28" s="998"/>
      <c r="H28" s="1008" t="str">
        <f t="shared" si="1"/>
        <v/>
      </c>
      <c r="I28" s="1002"/>
      <c r="J28" s="1002"/>
      <c r="K28" s="1002"/>
      <c r="L28" s="1002"/>
      <c r="M28" s="1002"/>
      <c r="N28" s="998"/>
    </row>
    <row r="29" spans="2:14" s="208" customFormat="1" ht="11.1" customHeight="1">
      <c r="B29" s="164">
        <v>39</v>
      </c>
      <c r="C29" s="165"/>
      <c r="D29" s="1410" t="s">
        <v>175</v>
      </c>
      <c r="E29" s="1410"/>
      <c r="F29" s="1411"/>
      <c r="G29" s="998">
        <v>2743</v>
      </c>
      <c r="H29" s="1008" t="str">
        <f t="shared" si="1"/>
        <v/>
      </c>
      <c r="I29" s="1002">
        <v>267</v>
      </c>
      <c r="J29" s="1002">
        <v>1733</v>
      </c>
      <c r="K29" s="1002">
        <v>269</v>
      </c>
      <c r="L29" s="1002">
        <v>73</v>
      </c>
      <c r="M29" s="1002">
        <v>299</v>
      </c>
      <c r="N29" s="998">
        <v>102</v>
      </c>
    </row>
    <row r="30" spans="2:14" s="606" customFormat="1" ht="11.1" customHeight="1">
      <c r="B30" s="612"/>
      <c r="C30" s="613">
        <v>394</v>
      </c>
      <c r="D30" s="614"/>
      <c r="E30" s="1416" t="s">
        <v>132</v>
      </c>
      <c r="F30" s="1417"/>
      <c r="G30" s="1000">
        <v>497</v>
      </c>
      <c r="H30" s="1011" t="str">
        <f t="shared" si="1"/>
        <v/>
      </c>
      <c r="I30" s="1004">
        <v>22</v>
      </c>
      <c r="J30" s="1004">
        <v>164</v>
      </c>
      <c r="K30" s="1004">
        <v>35</v>
      </c>
      <c r="L30" s="1004">
        <v>12</v>
      </c>
      <c r="M30" s="1004">
        <v>178</v>
      </c>
      <c r="N30" s="1345">
        <v>86</v>
      </c>
    </row>
    <row r="31" spans="2:14" ht="11.1" customHeight="1">
      <c r="B31" s="213"/>
      <c r="C31" s="210"/>
      <c r="D31" s="210"/>
      <c r="E31" s="214"/>
      <c r="F31" s="214"/>
      <c r="G31" s="203"/>
      <c r="H31" s="379"/>
      <c r="I31" s="203"/>
      <c r="J31" s="203"/>
      <c r="K31" s="203"/>
      <c r="L31" s="203"/>
      <c r="M31" s="203"/>
      <c r="N31" s="203"/>
    </row>
    <row r="32" spans="2:14" ht="6" customHeight="1">
      <c r="B32" s="164"/>
      <c r="C32" s="207"/>
      <c r="D32" s="113"/>
      <c r="E32" s="375"/>
      <c r="F32" s="375"/>
      <c r="G32" s="391"/>
      <c r="H32" s="376"/>
      <c r="I32" s="391"/>
      <c r="J32" s="391"/>
      <c r="K32" s="391"/>
      <c r="L32" s="391"/>
      <c r="M32" s="391"/>
      <c r="N32" s="1346"/>
    </row>
    <row r="33" spans="2:14" ht="11.1" customHeight="1">
      <c r="B33" s="164">
        <v>4</v>
      </c>
      <c r="C33" s="165"/>
      <c r="D33" s="1406" t="s">
        <v>34</v>
      </c>
      <c r="E33" s="1407"/>
      <c r="F33" s="1408"/>
      <c r="G33" s="384">
        <f>SUM(G36:G43)+G47+G52+G54+G55+G57</f>
        <v>23975</v>
      </c>
      <c r="H33" s="1012" t="str">
        <f>IF(SUM(I33:Q33)-G33=0,"",SUM(I33:Q33)-G33)</f>
        <v/>
      </c>
      <c r="I33" s="384">
        <f>SUM(I36:I43)+I47+I52+I54+I55+I57</f>
        <v>710</v>
      </c>
      <c r="J33" s="384">
        <f t="shared" ref="J33:N33" si="2">SUM(J36:J43)+J47+J52+J54+J55+J57</f>
        <v>4659</v>
      </c>
      <c r="K33" s="384">
        <f t="shared" si="2"/>
        <v>2</v>
      </c>
      <c r="L33" s="384">
        <f t="shared" si="2"/>
        <v>6142</v>
      </c>
      <c r="M33" s="384">
        <f t="shared" si="2"/>
        <v>1675</v>
      </c>
      <c r="N33" s="1347">
        <f t="shared" si="2"/>
        <v>10787</v>
      </c>
    </row>
    <row r="34" spans="2:14" s="208" customFormat="1" ht="6" customHeight="1">
      <c r="B34" s="11"/>
      <c r="C34" s="12"/>
      <c r="D34" s="388"/>
      <c r="E34" s="85"/>
      <c r="F34" s="85"/>
      <c r="G34" s="379"/>
      <c r="H34" s="358"/>
      <c r="I34" s="379"/>
      <c r="J34" s="379"/>
      <c r="K34" s="379"/>
      <c r="L34" s="379"/>
      <c r="M34" s="379"/>
      <c r="N34" s="1348"/>
    </row>
    <row r="35" spans="2:14" ht="11.1" customHeight="1">
      <c r="B35" s="164">
        <v>40</v>
      </c>
      <c r="C35" s="165"/>
      <c r="D35" s="1412" t="s">
        <v>90</v>
      </c>
      <c r="E35" s="1412"/>
      <c r="F35" s="1413"/>
      <c r="G35" s="392">
        <f>G36+G37+G38+G39</f>
        <v>7144</v>
      </c>
      <c r="H35" s="358"/>
      <c r="I35" s="393"/>
      <c r="J35" s="393"/>
      <c r="K35" s="393"/>
      <c r="L35" s="393"/>
      <c r="M35" s="393"/>
      <c r="N35" s="1349"/>
    </row>
    <row r="36" spans="2:14" ht="11.1" customHeight="1">
      <c r="B36" s="164"/>
      <c r="C36" s="211">
        <v>400</v>
      </c>
      <c r="D36" s="1414" t="s">
        <v>91</v>
      </c>
      <c r="E36" s="1414"/>
      <c r="F36" s="1415"/>
      <c r="G36" s="1005">
        <v>5930</v>
      </c>
      <c r="H36" s="1008" t="str">
        <f t="shared" ref="H36:H58" si="3">IF(SUM(I36:Q36)-G36=0,"",SUM(I36:Q36)-G36)</f>
        <v/>
      </c>
      <c r="I36" s="1006"/>
      <c r="J36" s="1006"/>
      <c r="K36" s="1006"/>
      <c r="L36" s="1006"/>
      <c r="M36" s="1006"/>
      <c r="N36" s="1005">
        <v>5930</v>
      </c>
    </row>
    <row r="37" spans="2:14" ht="11.1" customHeight="1">
      <c r="B37" s="164"/>
      <c r="C37" s="211">
        <v>401</v>
      </c>
      <c r="D37" s="1414" t="s">
        <v>92</v>
      </c>
      <c r="E37" s="1414"/>
      <c r="F37" s="1415"/>
      <c r="G37" s="1005">
        <v>975</v>
      </c>
      <c r="H37" s="1008" t="str">
        <f t="shared" si="3"/>
        <v/>
      </c>
      <c r="I37" s="1006"/>
      <c r="J37" s="1006"/>
      <c r="K37" s="1006"/>
      <c r="L37" s="1006"/>
      <c r="M37" s="1006"/>
      <c r="N37" s="1005">
        <v>975</v>
      </c>
    </row>
    <row r="38" spans="2:14" ht="11.1" customHeight="1">
      <c r="B38" s="164"/>
      <c r="C38" s="211">
        <v>402</v>
      </c>
      <c r="D38" s="324" t="s">
        <v>162</v>
      </c>
      <c r="E38" s="324"/>
      <c r="F38" s="947"/>
      <c r="G38" s="330">
        <f>'F0b Planungsparameter'!G43</f>
        <v>220</v>
      </c>
      <c r="H38" s="1008" t="str">
        <f t="shared" si="3"/>
        <v/>
      </c>
      <c r="I38" s="1006"/>
      <c r="J38" s="1006"/>
      <c r="K38" s="1006"/>
      <c r="L38" s="1006"/>
      <c r="M38" s="1006"/>
      <c r="N38" s="1005">
        <v>220</v>
      </c>
    </row>
    <row r="39" spans="2:14" ht="11.1" customHeight="1">
      <c r="B39" s="164"/>
      <c r="C39" s="211">
        <v>403</v>
      </c>
      <c r="D39" s="1414" t="s">
        <v>81</v>
      </c>
      <c r="E39" s="1414"/>
      <c r="F39" s="1415"/>
      <c r="G39" s="1005">
        <v>19</v>
      </c>
      <c r="H39" s="1008" t="str">
        <f t="shared" si="3"/>
        <v/>
      </c>
      <c r="I39" s="1006"/>
      <c r="J39" s="1006"/>
      <c r="K39" s="1006"/>
      <c r="L39" s="1006"/>
      <c r="M39" s="1006"/>
      <c r="N39" s="1005">
        <v>19</v>
      </c>
    </row>
    <row r="40" spans="2:14" ht="11.1" customHeight="1">
      <c r="B40" s="164">
        <v>41</v>
      </c>
      <c r="C40" s="165"/>
      <c r="D40" s="1410" t="s">
        <v>18</v>
      </c>
      <c r="E40" s="1410"/>
      <c r="F40" s="1411"/>
      <c r="G40" s="998">
        <v>290</v>
      </c>
      <c r="H40" s="1008" t="str">
        <f t="shared" si="3"/>
        <v/>
      </c>
      <c r="I40" s="1002">
        <v>1</v>
      </c>
      <c r="J40" s="1002"/>
      <c r="K40" s="1002"/>
      <c r="L40" s="1002"/>
      <c r="M40" s="1002">
        <v>19</v>
      </c>
      <c r="N40" s="998">
        <v>270</v>
      </c>
    </row>
    <row r="41" spans="2:14" ht="11.1" customHeight="1">
      <c r="B41" s="164">
        <v>42</v>
      </c>
      <c r="C41" s="165"/>
      <c r="D41" s="1410" t="s">
        <v>19</v>
      </c>
      <c r="E41" s="1410"/>
      <c r="F41" s="1411"/>
      <c r="G41" s="998">
        <v>6272</v>
      </c>
      <c r="H41" s="1008" t="str">
        <f t="shared" si="3"/>
        <v/>
      </c>
      <c r="I41" s="1002">
        <v>56</v>
      </c>
      <c r="J41" s="1002">
        <v>77</v>
      </c>
      <c r="K41" s="1002">
        <v>2</v>
      </c>
      <c r="L41" s="1002">
        <v>4975</v>
      </c>
      <c r="M41" s="1002">
        <v>1113</v>
      </c>
      <c r="N41" s="998">
        <v>49</v>
      </c>
    </row>
    <row r="42" spans="2:14" ht="11.1" customHeight="1">
      <c r="B42" s="164">
        <v>43</v>
      </c>
      <c r="C42" s="165"/>
      <c r="D42" s="1410" t="s">
        <v>94</v>
      </c>
      <c r="E42" s="1410"/>
      <c r="F42" s="1411"/>
      <c r="G42" s="998">
        <v>100</v>
      </c>
      <c r="H42" s="1008" t="str">
        <f t="shared" si="3"/>
        <v/>
      </c>
      <c r="I42" s="1002">
        <v>24</v>
      </c>
      <c r="J42" s="1002"/>
      <c r="K42" s="1002"/>
      <c r="L42" s="1002">
        <v>71</v>
      </c>
      <c r="M42" s="1002">
        <v>5</v>
      </c>
      <c r="N42" s="998"/>
    </row>
    <row r="43" spans="2:14" ht="11.1" customHeight="1">
      <c r="B43" s="164">
        <v>44</v>
      </c>
      <c r="C43" s="165"/>
      <c r="D43" s="1410" t="s">
        <v>95</v>
      </c>
      <c r="E43" s="1410"/>
      <c r="F43" s="1411"/>
      <c r="G43" s="998">
        <v>60</v>
      </c>
      <c r="H43" s="1008" t="str">
        <f t="shared" si="3"/>
        <v/>
      </c>
      <c r="I43" s="1002">
        <v>1</v>
      </c>
      <c r="J43" s="1002">
        <v>31</v>
      </c>
      <c r="K43" s="1002"/>
      <c r="L43" s="1002"/>
      <c r="M43" s="1002"/>
      <c r="N43" s="998">
        <v>28</v>
      </c>
    </row>
    <row r="44" spans="2:14" s="208" customFormat="1" ht="11.1" customHeight="1">
      <c r="B44" s="1272"/>
      <c r="C44" s="662">
        <v>440</v>
      </c>
      <c r="D44" s="663" t="s">
        <v>358</v>
      </c>
      <c r="E44" s="663"/>
      <c r="F44" s="1259"/>
      <c r="G44" s="999">
        <v>16</v>
      </c>
      <c r="H44" s="1008" t="str">
        <f t="shared" si="3"/>
        <v/>
      </c>
      <c r="I44" s="1003"/>
      <c r="J44" s="1003"/>
      <c r="K44" s="1003"/>
      <c r="L44" s="1003"/>
      <c r="M44" s="1003"/>
      <c r="N44" s="999">
        <v>16</v>
      </c>
    </row>
    <row r="45" spans="2:14" s="606" customFormat="1" ht="11.1" customHeight="1">
      <c r="B45" s="607"/>
      <c r="C45" s="603">
        <v>441</v>
      </c>
      <c r="D45" s="604" t="s">
        <v>211</v>
      </c>
      <c r="E45" s="604"/>
      <c r="F45" s="605"/>
      <c r="G45" s="999"/>
      <c r="H45" s="1008" t="str">
        <f t="shared" si="3"/>
        <v/>
      </c>
      <c r="I45" s="1003"/>
      <c r="J45" s="1003"/>
      <c r="K45" s="1003"/>
      <c r="L45" s="1003"/>
      <c r="M45" s="1003"/>
      <c r="N45" s="999"/>
    </row>
    <row r="46" spans="2:14" s="606" customFormat="1" ht="11.1" customHeight="1">
      <c r="B46" s="607"/>
      <c r="C46" s="603" t="s">
        <v>207</v>
      </c>
      <c r="D46" s="604" t="s">
        <v>208</v>
      </c>
      <c r="E46" s="604"/>
      <c r="F46" s="605"/>
      <c r="G46" s="999">
        <v>44</v>
      </c>
      <c r="H46" s="1008" t="str">
        <f t="shared" si="3"/>
        <v/>
      </c>
      <c r="I46" s="1003"/>
      <c r="J46" s="1003"/>
      <c r="K46" s="1003"/>
      <c r="L46" s="1003"/>
      <c r="M46" s="1003"/>
      <c r="N46" s="999">
        <v>44</v>
      </c>
    </row>
    <row r="47" spans="2:14" ht="11.1" customHeight="1">
      <c r="B47" s="164">
        <v>45</v>
      </c>
      <c r="C47" s="165"/>
      <c r="D47" s="1410" t="s">
        <v>96</v>
      </c>
      <c r="E47" s="1410"/>
      <c r="F47" s="1411"/>
      <c r="G47" s="998">
        <v>424</v>
      </c>
      <c r="H47" s="1008" t="str">
        <f t="shared" si="3"/>
        <v/>
      </c>
      <c r="I47" s="1002"/>
      <c r="J47" s="1002"/>
      <c r="K47" s="1002"/>
      <c r="L47" s="1002">
        <v>49</v>
      </c>
      <c r="M47" s="1002">
        <v>375</v>
      </c>
      <c r="N47" s="998"/>
    </row>
    <row r="48" spans="2:14" s="606" customFormat="1" ht="11.1" customHeight="1">
      <c r="B48" s="615"/>
      <c r="C48" s="603">
        <v>450</v>
      </c>
      <c r="D48" s="604" t="s">
        <v>199</v>
      </c>
      <c r="E48" s="604"/>
      <c r="F48" s="605"/>
      <c r="G48" s="999">
        <v>8</v>
      </c>
      <c r="H48" s="1008" t="str">
        <f t="shared" si="3"/>
        <v/>
      </c>
      <c r="I48" s="1003"/>
      <c r="J48" s="1003"/>
      <c r="K48" s="1003"/>
      <c r="L48" s="1003"/>
      <c r="M48" s="1003">
        <v>8</v>
      </c>
      <c r="N48" s="999"/>
    </row>
    <row r="49" spans="2:14" s="606" customFormat="1" ht="11.1" customHeight="1">
      <c r="B49" s="615"/>
      <c r="C49" s="603">
        <v>4510</v>
      </c>
      <c r="D49" s="604" t="s">
        <v>204</v>
      </c>
      <c r="E49" s="604"/>
      <c r="F49" s="605"/>
      <c r="G49" s="999">
        <v>417</v>
      </c>
      <c r="H49" s="1008" t="str">
        <f t="shared" si="3"/>
        <v/>
      </c>
      <c r="I49" s="1003"/>
      <c r="J49" s="1003"/>
      <c r="K49" s="1003"/>
      <c r="L49" s="1003"/>
      <c r="M49" s="1003">
        <v>417</v>
      </c>
      <c r="N49" s="999"/>
    </row>
    <row r="50" spans="2:14" s="606" customFormat="1" ht="11.1" customHeight="1">
      <c r="B50" s="615"/>
      <c r="C50" s="603">
        <v>4511</v>
      </c>
      <c r="D50" s="930" t="s">
        <v>205</v>
      </c>
      <c r="E50" s="930"/>
      <c r="F50" s="931"/>
      <c r="G50" s="999"/>
      <c r="H50" s="1008" t="str">
        <f t="shared" si="3"/>
        <v/>
      </c>
      <c r="I50" s="1003"/>
      <c r="J50" s="1003"/>
      <c r="K50" s="1003"/>
      <c r="L50" s="1003"/>
      <c r="M50" s="1003"/>
      <c r="N50" s="999"/>
    </row>
    <row r="51" spans="2:14" s="606" customFormat="1" ht="11.1" customHeight="1">
      <c r="B51" s="615"/>
      <c r="C51" s="603">
        <v>4512</v>
      </c>
      <c r="D51" s="930" t="s">
        <v>292</v>
      </c>
      <c r="E51" s="604"/>
      <c r="F51" s="605"/>
      <c r="G51" s="999"/>
      <c r="H51" s="1008" t="str">
        <f t="shared" si="3"/>
        <v/>
      </c>
      <c r="I51" s="1003"/>
      <c r="J51" s="1003"/>
      <c r="K51" s="1003"/>
      <c r="L51" s="1003"/>
      <c r="M51" s="1003"/>
      <c r="N51" s="999"/>
    </row>
    <row r="52" spans="2:14" ht="11.1" customHeight="1">
      <c r="B52" s="164">
        <v>46</v>
      </c>
      <c r="C52" s="165"/>
      <c r="D52" s="1410" t="s">
        <v>98</v>
      </c>
      <c r="E52" s="1410"/>
      <c r="F52" s="1411"/>
      <c r="G52" s="998">
        <v>6942</v>
      </c>
      <c r="H52" s="1008" t="str">
        <f t="shared" si="3"/>
        <v/>
      </c>
      <c r="I52" s="1002">
        <v>52</v>
      </c>
      <c r="J52" s="1002">
        <v>2881</v>
      </c>
      <c r="K52" s="1002"/>
      <c r="L52" s="1002">
        <v>1027</v>
      </c>
      <c r="M52" s="1002">
        <v>97</v>
      </c>
      <c r="N52" s="998">
        <v>2885</v>
      </c>
    </row>
    <row r="53" spans="2:14" s="208" customFormat="1" ht="11.1" customHeight="1">
      <c r="B53" s="5"/>
      <c r="C53" s="212">
        <v>462</v>
      </c>
      <c r="D53" s="12"/>
      <c r="E53" s="1414" t="s">
        <v>176</v>
      </c>
      <c r="F53" s="1415"/>
      <c r="G53" s="330">
        <f>'F0b Planungsparameter'!G54</f>
        <v>2884</v>
      </c>
      <c r="H53" s="1008" t="str">
        <f t="shared" si="3"/>
        <v/>
      </c>
      <c r="I53" s="1007"/>
      <c r="J53" s="1007"/>
      <c r="K53" s="1007"/>
      <c r="L53" s="1007"/>
      <c r="M53" s="1007"/>
      <c r="N53" s="1350">
        <v>2884</v>
      </c>
    </row>
    <row r="54" spans="2:14" ht="11.1" customHeight="1">
      <c r="B54" s="164">
        <v>47</v>
      </c>
      <c r="C54" s="165"/>
      <c r="D54" s="1410" t="s">
        <v>25</v>
      </c>
      <c r="E54" s="1410"/>
      <c r="F54" s="1411"/>
      <c r="G54" s="998"/>
      <c r="H54" s="1008" t="str">
        <f t="shared" si="3"/>
        <v/>
      </c>
      <c r="I54" s="1002"/>
      <c r="J54" s="1002"/>
      <c r="K54" s="1002"/>
      <c r="L54" s="1002"/>
      <c r="M54" s="1002"/>
      <c r="N54" s="998"/>
    </row>
    <row r="55" spans="2:14" ht="11.1" customHeight="1">
      <c r="B55" s="164">
        <v>48</v>
      </c>
      <c r="C55" s="165"/>
      <c r="D55" s="1410" t="s">
        <v>97</v>
      </c>
      <c r="E55" s="1410"/>
      <c r="F55" s="1411"/>
      <c r="G55" s="998"/>
      <c r="H55" s="1008" t="str">
        <f t="shared" si="3"/>
        <v/>
      </c>
      <c r="I55" s="1002"/>
      <c r="J55" s="1002"/>
      <c r="K55" s="1002"/>
      <c r="L55" s="1002"/>
      <c r="M55" s="1002"/>
      <c r="N55" s="998"/>
    </row>
    <row r="56" spans="2:14" s="606" customFormat="1" ht="11.1" customHeight="1">
      <c r="B56" s="615"/>
      <c r="C56" s="603">
        <v>489</v>
      </c>
      <c r="D56" s="604" t="s">
        <v>200</v>
      </c>
      <c r="E56" s="604"/>
      <c r="F56" s="605"/>
      <c r="G56" s="999"/>
      <c r="H56" s="1008" t="str">
        <f t="shared" si="3"/>
        <v/>
      </c>
      <c r="I56" s="1003"/>
      <c r="J56" s="1003"/>
      <c r="K56" s="1003"/>
      <c r="L56" s="1003"/>
      <c r="M56" s="1003"/>
      <c r="N56" s="999"/>
    </row>
    <row r="57" spans="2:14" s="208" customFormat="1" ht="11.1" customHeight="1">
      <c r="B57" s="164">
        <v>49</v>
      </c>
      <c r="C57" s="165"/>
      <c r="D57" s="309" t="s">
        <v>175</v>
      </c>
      <c r="E57" s="309"/>
      <c r="F57" s="310"/>
      <c r="G57" s="998">
        <v>2743</v>
      </c>
      <c r="H57" s="1008" t="str">
        <f t="shared" si="3"/>
        <v/>
      </c>
      <c r="I57" s="1002">
        <v>576</v>
      </c>
      <c r="J57" s="1002">
        <v>1670</v>
      </c>
      <c r="K57" s="1002"/>
      <c r="L57" s="1002">
        <v>20</v>
      </c>
      <c r="M57" s="1002">
        <v>66</v>
      </c>
      <c r="N57" s="998">
        <v>411</v>
      </c>
    </row>
    <row r="58" spans="2:14" s="606" customFormat="1" ht="11.1" customHeight="1">
      <c r="B58" s="615"/>
      <c r="C58" s="603">
        <v>494</v>
      </c>
      <c r="D58" s="608"/>
      <c r="E58" s="1404" t="s">
        <v>151</v>
      </c>
      <c r="F58" s="1405"/>
      <c r="G58" s="1000">
        <v>497</v>
      </c>
      <c r="H58" s="1008" t="str">
        <f t="shared" si="3"/>
        <v/>
      </c>
      <c r="I58" s="1004"/>
      <c r="J58" s="1004"/>
      <c r="K58" s="1004"/>
      <c r="L58" s="1004"/>
      <c r="M58" s="1004"/>
      <c r="N58" s="1345">
        <v>497</v>
      </c>
    </row>
    <row r="59" spans="2:14" ht="6" customHeight="1">
      <c r="B59" s="213"/>
      <c r="C59" s="210"/>
      <c r="D59" s="210"/>
      <c r="E59" s="214"/>
      <c r="F59" s="214"/>
      <c r="G59" s="203"/>
      <c r="H59" s="358"/>
      <c r="I59" s="203"/>
      <c r="J59" s="203"/>
      <c r="K59" s="203"/>
      <c r="L59" s="203"/>
      <c r="M59" s="203"/>
      <c r="N59" s="203"/>
    </row>
    <row r="60" spans="2:14" s="208" customFormat="1" ht="6" customHeight="1">
      <c r="B60" s="163"/>
      <c r="C60" s="215"/>
      <c r="D60" s="215"/>
      <c r="E60" s="156"/>
      <c r="F60" s="156"/>
      <c r="G60" s="156"/>
      <c r="H60" s="156"/>
      <c r="I60" s="216"/>
      <c r="J60" s="216"/>
      <c r="K60" s="216"/>
      <c r="L60" s="216"/>
      <c r="M60" s="216"/>
      <c r="N60" s="1351"/>
    </row>
    <row r="61" spans="2:14">
      <c r="B61" s="5"/>
      <c r="C61" s="2"/>
      <c r="D61" s="158" t="s">
        <v>99</v>
      </c>
      <c r="E61" s="2"/>
      <c r="F61" s="2"/>
      <c r="G61" s="72">
        <f>G33</f>
        <v>23975</v>
      </c>
      <c r="H61" s="1008" t="str">
        <f>IF(SUM(I61:Q61)-G61=0,"",SUM(I61:Q61)-G61)</f>
        <v/>
      </c>
      <c r="I61" s="72">
        <f t="shared" ref="I61:N61" si="4">I33</f>
        <v>710</v>
      </c>
      <c r="J61" s="72">
        <f t="shared" si="4"/>
        <v>4659</v>
      </c>
      <c r="K61" s="72">
        <f t="shared" si="4"/>
        <v>2</v>
      </c>
      <c r="L61" s="72">
        <f t="shared" si="4"/>
        <v>6142</v>
      </c>
      <c r="M61" s="72">
        <f t="shared" si="4"/>
        <v>1675</v>
      </c>
      <c r="N61" s="1352">
        <f t="shared" si="4"/>
        <v>10787</v>
      </c>
    </row>
    <row r="62" spans="2:14" s="208" customFormat="1">
      <c r="B62" s="5"/>
      <c r="C62" s="2"/>
      <c r="D62" s="158" t="s">
        <v>100</v>
      </c>
      <c r="E62" s="2"/>
      <c r="F62" s="2"/>
      <c r="G62" s="72">
        <f>-G10</f>
        <v>-23944</v>
      </c>
      <c r="H62" s="1008" t="str">
        <f>IF(SUM(I62:Q62)-G62=0,"",SUM(I62:Q62)-G62)</f>
        <v/>
      </c>
      <c r="I62" s="72">
        <f t="shared" ref="I62:N62" si="5">-I10</f>
        <v>-1486</v>
      </c>
      <c r="J62" s="72">
        <f t="shared" si="5"/>
        <v>-8220</v>
      </c>
      <c r="K62" s="72">
        <f t="shared" si="5"/>
        <v>-498</v>
      </c>
      <c r="L62" s="72">
        <f t="shared" si="5"/>
        <v>-10224</v>
      </c>
      <c r="M62" s="72">
        <f t="shared" si="5"/>
        <v>-3229</v>
      </c>
      <c r="N62" s="1352">
        <f t="shared" si="5"/>
        <v>-287</v>
      </c>
    </row>
    <row r="63" spans="2:14" ht="6" customHeight="1">
      <c r="B63" s="5"/>
      <c r="C63" s="2"/>
      <c r="D63" s="2"/>
      <c r="E63" s="2"/>
      <c r="F63" s="2"/>
      <c r="G63" s="8"/>
      <c r="H63" s="389"/>
      <c r="I63" s="8"/>
      <c r="J63" s="8"/>
      <c r="K63" s="8"/>
      <c r="L63" s="8"/>
      <c r="M63" s="8"/>
      <c r="N63" s="299"/>
    </row>
    <row r="64" spans="2:14">
      <c r="B64" s="5"/>
      <c r="C64" s="85"/>
      <c r="D64" s="107" t="s">
        <v>187</v>
      </c>
      <c r="E64" s="85"/>
      <c r="F64" s="85"/>
      <c r="G64" s="86"/>
      <c r="H64" s="389"/>
      <c r="I64" s="389"/>
      <c r="J64" s="389"/>
      <c r="K64" s="389"/>
      <c r="L64" s="389"/>
      <c r="M64" s="389"/>
      <c r="N64" s="1353"/>
    </row>
    <row r="65" spans="2:14">
      <c r="B65" s="5"/>
      <c r="C65" s="85">
        <v>299</v>
      </c>
      <c r="D65" s="85" t="s">
        <v>188</v>
      </c>
      <c r="E65" s="85"/>
      <c r="F65" s="85"/>
      <c r="G65" s="394">
        <f>G61+G62</f>
        <v>31</v>
      </c>
      <c r="H65" s="1013" t="str">
        <f>IF(SUM(I65:Q65)-G65=0,"",SUM(I65:Q65)-G65)</f>
        <v/>
      </c>
      <c r="I65" s="394">
        <f>I61+I62</f>
        <v>-776</v>
      </c>
      <c r="J65" s="394">
        <f t="shared" ref="J65:N65" si="6">J61+J62</f>
        <v>-3561</v>
      </c>
      <c r="K65" s="394">
        <f t="shared" si="6"/>
        <v>-496</v>
      </c>
      <c r="L65" s="394">
        <f t="shared" si="6"/>
        <v>-4082</v>
      </c>
      <c r="M65" s="394">
        <f t="shared" si="6"/>
        <v>-1554</v>
      </c>
      <c r="N65" s="1354">
        <f t="shared" si="6"/>
        <v>10500</v>
      </c>
    </row>
    <row r="66" spans="2:14" s="208" customFormat="1">
      <c r="B66" s="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358"/>
    </row>
    <row r="67" spans="2:14" s="208" customFormat="1" ht="11.1" customHeight="1">
      <c r="B67" s="61"/>
      <c r="C67" s="390"/>
      <c r="D67" s="390"/>
      <c r="E67" s="390"/>
      <c r="F67" s="390"/>
      <c r="G67" s="390"/>
      <c r="H67" s="390"/>
      <c r="I67" s="390"/>
      <c r="J67" s="390"/>
      <c r="K67" s="390"/>
      <c r="L67" s="390"/>
      <c r="M67" s="390"/>
      <c r="N67" s="828"/>
    </row>
    <row r="68" spans="2:14">
      <c r="B68" s="208"/>
      <c r="C68" s="208"/>
      <c r="D68" s="208"/>
      <c r="E68" s="208"/>
      <c r="F68" s="208"/>
      <c r="H68" s="208"/>
      <c r="I68" s="208"/>
    </row>
    <row r="69" spans="2:14">
      <c r="B69" s="208"/>
      <c r="C69" s="208"/>
      <c r="D69" s="208"/>
      <c r="E69" s="208"/>
      <c r="F69" s="208"/>
      <c r="H69" s="208"/>
      <c r="I69" s="261"/>
    </row>
    <row r="70" spans="2:14">
      <c r="B70" s="208"/>
      <c r="C70" s="208"/>
      <c r="D70" s="208"/>
      <c r="E70" s="208"/>
      <c r="F70" s="208"/>
      <c r="H70" s="208"/>
      <c r="I70" s="208"/>
    </row>
    <row r="71" spans="2:14">
      <c r="B71" s="208"/>
      <c r="C71" s="208"/>
      <c r="D71" s="208"/>
      <c r="E71" s="208"/>
      <c r="F71" s="208"/>
      <c r="H71" s="208"/>
      <c r="I71" s="1015"/>
    </row>
    <row r="73" spans="2:14">
      <c r="H73" s="208"/>
    </row>
  </sheetData>
  <mergeCells count="31">
    <mergeCell ref="D43:F43"/>
    <mergeCell ref="D47:F47"/>
    <mergeCell ref="D52:F52"/>
    <mergeCell ref="D54:F54"/>
    <mergeCell ref="D42:F42"/>
    <mergeCell ref="E53:F53"/>
    <mergeCell ref="D39:F39"/>
    <mergeCell ref="D28:F28"/>
    <mergeCell ref="D19:F19"/>
    <mergeCell ref="D24:F24"/>
    <mergeCell ref="D27:F27"/>
    <mergeCell ref="D33:F33"/>
    <mergeCell ref="D29:F29"/>
    <mergeCell ref="E30:F30"/>
    <mergeCell ref="E26:F26"/>
    <mergeCell ref="G5:I5"/>
    <mergeCell ref="E58:F58"/>
    <mergeCell ref="B3:H3"/>
    <mergeCell ref="D10:F10"/>
    <mergeCell ref="B5:F5"/>
    <mergeCell ref="E25:F25"/>
    <mergeCell ref="D13:F13"/>
    <mergeCell ref="D14:F14"/>
    <mergeCell ref="D15:F15"/>
    <mergeCell ref="D55:F55"/>
    <mergeCell ref="D12:F12"/>
    <mergeCell ref="D40:F40"/>
    <mergeCell ref="D41:F41"/>
    <mergeCell ref="D35:F35"/>
    <mergeCell ref="D36:F36"/>
    <mergeCell ref="D37:F37"/>
  </mergeCells>
  <phoneticPr fontId="2" type="noConversion"/>
  <conditionalFormatting sqref="O69:Q69">
    <cfRule type="cellIs" dxfId="32" priority="20" operator="lessThan">
      <formula>0</formula>
    </cfRule>
    <cfRule type="cellIs" dxfId="31" priority="21" operator="greaterThanOrEqual">
      <formula>0</formula>
    </cfRule>
  </conditionalFormatting>
  <conditionalFormatting sqref="G65">
    <cfRule type="cellIs" dxfId="30" priority="18" operator="lessThan">
      <formula>0</formula>
    </cfRule>
    <cfRule type="cellIs" dxfId="29" priority="19" operator="greaterThanOrEqual">
      <formula>0</formula>
    </cfRule>
  </conditionalFormatting>
  <conditionalFormatting sqref="I65:N65">
    <cfRule type="cellIs" dxfId="28" priority="1" operator="lessThan">
      <formula>0</formula>
    </cfRule>
    <cfRule type="cellIs" dxfId="27" priority="2" operator="greaterThanOrEqual">
      <formula>0</formula>
    </cfRule>
  </conditionalFormatting>
  <pageMargins left="0.39370078740157483" right="0.39370078740157483" top="0.59055118110236227" bottom="0.59055118110236227" header="0.43307086614173229" footer="0.43307086614173229"/>
  <pageSetup paperSize="9" scale="92" fitToWidth="2" orientation="portrait" copies="2" r:id="rId1"/>
  <headerFooter>
    <oddFooter>&amp;L&amp;8&amp;K000000© Legrafin                 &amp;D / &amp;T&amp;C&amp;8&amp;K000000Seite  &amp;P&amp;R&amp;8&amp;K000000&amp;F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69"/>
  <sheetViews>
    <sheetView zoomScale="150" zoomScaleNormal="150" workbookViewId="0">
      <pane xSplit="8" ySplit="9" topLeftCell="I44" activePane="bottomRight" state="frozenSplit"/>
      <selection pane="topRight" activeCell="I1" sqref="I1"/>
      <selection pane="bottomLeft" activeCell="A10" sqref="A10"/>
      <selection pane="bottomRight" activeCell="M81" sqref="M81"/>
    </sheetView>
  </sheetViews>
  <sheetFormatPr baseColWidth="10" defaultColWidth="11.42578125" defaultRowHeight="11.25"/>
  <cols>
    <col min="1" max="1" width="0.85546875" style="208" customWidth="1"/>
    <col min="2" max="2" width="2.7109375" style="208" customWidth="1"/>
    <col min="3" max="3" width="4.7109375" style="208" customWidth="1"/>
    <col min="4" max="4" width="1.7109375" style="208" customWidth="1"/>
    <col min="5" max="5" width="16.85546875" style="208" customWidth="1"/>
    <col min="6" max="6" width="13.85546875" style="208" customWidth="1"/>
    <col min="7" max="7" width="7.42578125" style="17" customWidth="1"/>
    <col min="8" max="8" width="5.140625" style="208" customWidth="1"/>
    <col min="9" max="14" width="7.28515625" style="208" customWidth="1"/>
    <col min="15" max="16384" width="11.42578125" style="208"/>
  </cols>
  <sheetData>
    <row r="1" spans="1:14" s="36" customFormat="1" ht="12">
      <c r="B1" s="712" t="str">
        <f>"Aufgaben- und Finanzplan "&amp;TEXT(Budget2,0)&amp;" - "&amp;TEXT(Finz1+4,0)</f>
        <v>Aufgaben- und Finanzplan 2022 - 2027</v>
      </c>
      <c r="C1" s="712"/>
      <c r="D1" s="712"/>
      <c r="E1" s="712"/>
      <c r="F1" s="712"/>
      <c r="G1" s="245" t="str">
        <f>"Gemeinde "&amp;TEXT(Gemeinde,0)</f>
        <v>Gemeinde Menznau</v>
      </c>
      <c r="H1" s="712"/>
    </row>
    <row r="2" spans="1:14" ht="6" customHeight="1">
      <c r="G2" s="208"/>
    </row>
    <row r="3" spans="1:14" s="14" customFormat="1" ht="12.75">
      <c r="A3" s="73"/>
      <c r="B3" s="1421" t="str">
        <f>IF('F0b Planungsparameter'!$G$10="Ja","Formular 1c:  Erfolgsrechnung für das kommende Budgetjahr","Formular 1c:  Erfolgsrechnung für das laufende Budgetjahr")</f>
        <v>Formular 1c:  Erfolgsrechnung für das kommende Budgetjahr</v>
      </c>
      <c r="C3" s="1421"/>
      <c r="D3" s="1422"/>
      <c r="E3" s="1422"/>
      <c r="F3" s="1422"/>
      <c r="G3" s="1422"/>
      <c r="H3" s="1422"/>
      <c r="I3" s="82"/>
      <c r="J3" s="82"/>
      <c r="K3" s="82"/>
      <c r="L3" s="82"/>
      <c r="M3" s="82"/>
      <c r="N3" s="82"/>
    </row>
    <row r="4" spans="1:14" ht="6" customHeight="1">
      <c r="B4" s="86"/>
      <c r="C4" s="86"/>
      <c r="D4" s="86"/>
      <c r="E4" s="86"/>
      <c r="F4" s="86"/>
      <c r="G4" s="396"/>
      <c r="H4" s="86"/>
      <c r="I4" s="86"/>
      <c r="J4" s="86"/>
      <c r="K4" s="86"/>
      <c r="L4" s="86"/>
      <c r="M4" s="86"/>
      <c r="N4" s="86"/>
    </row>
    <row r="5" spans="1:14" ht="12.75">
      <c r="B5" s="1423" t="str">
        <f>IF('F0b Planungsparameter'!$G$10="Ja","Budget Erfolgsrechnung des Jahres "&amp;TEXT(Budget2,0),"Budget Erfogsrechnung des Jahres "&amp;TEXT(Budget2,0))</f>
        <v>Budget Erfolgsrechnung des Jahres 2022</v>
      </c>
      <c r="C5" s="1424"/>
      <c r="D5" s="1424"/>
      <c r="E5" s="1424"/>
      <c r="F5" s="1424"/>
      <c r="G5" s="1425" t="s">
        <v>2</v>
      </c>
      <c r="H5" s="1425"/>
      <c r="I5" s="1425"/>
      <c r="J5" s="86"/>
      <c r="K5" s="86"/>
      <c r="L5" s="86"/>
      <c r="M5" s="86"/>
      <c r="N5" s="86"/>
    </row>
    <row r="6" spans="1:14" ht="6" customHeight="1">
      <c r="B6" s="374"/>
      <c r="C6" s="113"/>
      <c r="D6" s="113"/>
      <c r="E6" s="375"/>
      <c r="F6" s="375"/>
      <c r="G6" s="376"/>
      <c r="H6" s="353"/>
      <c r="I6" s="377"/>
      <c r="J6" s="378"/>
      <c r="K6" s="378"/>
      <c r="L6" s="378"/>
      <c r="M6" s="378"/>
      <c r="N6" s="378"/>
    </row>
    <row r="7" spans="1:14" ht="11.1" customHeight="1">
      <c r="B7" s="374"/>
      <c r="C7" s="113"/>
      <c r="D7" s="113"/>
      <c r="E7" s="375"/>
      <c r="F7" s="375"/>
      <c r="G7" s="379" t="s">
        <v>106</v>
      </c>
      <c r="H7" s="358"/>
      <c r="I7" s="380" t="str">
        <f>IF('F0a Konfiguration'!$C$11="","",'F0a Konfiguration'!$C$11)</f>
        <v>AB1</v>
      </c>
      <c r="J7" s="380" t="str">
        <f>IF('F0a Konfiguration'!$C$12="","",'F0a Konfiguration'!$C$12)</f>
        <v>AB2</v>
      </c>
      <c r="K7" s="380" t="str">
        <f>IF('F0a Konfiguration'!$C$13="","",'F0a Konfiguration'!$C$13)</f>
        <v>AB3</v>
      </c>
      <c r="L7" s="380" t="str">
        <f>IF('F0a Konfiguration'!$C$14="","",'F0a Konfiguration'!$C$14)</f>
        <v>AB4</v>
      </c>
      <c r="M7" s="380" t="str">
        <f>IF('F0a Konfiguration'!$C$15="","",'F0a Konfiguration'!$C$15)</f>
        <v>AB5</v>
      </c>
      <c r="N7" s="380" t="str">
        <f>IF('F0a Konfiguration'!$C$16="","",'F0a Konfiguration'!$C$16)</f>
        <v>AB6</v>
      </c>
    </row>
    <row r="8" spans="1:14" ht="11.1" customHeight="1">
      <c r="B8" s="374"/>
      <c r="C8" s="113"/>
      <c r="D8" s="113"/>
      <c r="E8" s="375"/>
      <c r="F8" s="375"/>
      <c r="G8" s="379" t="s">
        <v>20</v>
      </c>
      <c r="H8" s="358"/>
      <c r="I8" s="380" t="str">
        <f>IF('F0a Konfiguration'!$G$11="","",'F0a Konfiguration'!$G$11)</f>
        <v>Verwaltung</v>
      </c>
      <c r="J8" s="380" t="str">
        <f>IF('F0a Konfiguration'!$G$12="","",'F0a Konfiguration'!$G$12)</f>
        <v>Bildung</v>
      </c>
      <c r="K8" s="380" t="str">
        <f>IF('F0a Konfiguration'!$G$13="","",'F0a Konfiguration'!$G$13)</f>
        <v>Freizeit</v>
      </c>
      <c r="L8" s="380" t="str">
        <f>IF('F0a Konfiguration'!$G$14="","",'F0a Konfiguration'!$G$14)</f>
        <v>Soziales</v>
      </c>
      <c r="M8" s="380" t="str">
        <f>IF('F0a Konfiguration'!$G$15="","",'F0a Konfiguration'!$G$15)</f>
        <v>Infrastruktur</v>
      </c>
      <c r="N8" s="380" t="str">
        <f>IF('F0a Konfiguration'!$G$16="","",'F0a Konfiguration'!$G$16)</f>
        <v>Finanzen</v>
      </c>
    </row>
    <row r="9" spans="1:14" ht="6" customHeight="1">
      <c r="B9" s="374"/>
      <c r="C9" s="113"/>
      <c r="D9" s="113"/>
      <c r="E9" s="375"/>
      <c r="F9" s="375"/>
      <c r="G9" s="379"/>
      <c r="H9" s="358"/>
      <c r="I9" s="381"/>
      <c r="J9" s="382"/>
      <c r="K9" s="382"/>
      <c r="L9" s="382"/>
      <c r="M9" s="382"/>
      <c r="N9" s="382"/>
    </row>
    <row r="10" spans="1:14" ht="11.1" customHeight="1">
      <c r="B10" s="374">
        <v>3</v>
      </c>
      <c r="C10" s="383"/>
      <c r="D10" s="1406" t="s">
        <v>23</v>
      </c>
      <c r="E10" s="1407"/>
      <c r="F10" s="1408"/>
      <c r="G10" s="384">
        <f>SUM(G12:G15)+G19+G24+SUM(G27:G29)</f>
        <v>24742</v>
      </c>
      <c r="H10" s="1008" t="str">
        <f>IF(SUM(I10:R10)-G10=0,"",SUM(I10:R10)-G10)</f>
        <v/>
      </c>
      <c r="I10" s="384">
        <f t="shared" ref="I10:N10" si="0">SUM(I12:I15)+I19+I24+SUM(I27:I29)</f>
        <v>1528</v>
      </c>
      <c r="J10" s="384">
        <f t="shared" si="0"/>
        <v>8759</v>
      </c>
      <c r="K10" s="384">
        <f t="shared" si="0"/>
        <v>583</v>
      </c>
      <c r="L10" s="384">
        <f t="shared" si="0"/>
        <v>10317</v>
      </c>
      <c r="M10" s="384">
        <f t="shared" si="0"/>
        <v>3286</v>
      </c>
      <c r="N10" s="384">
        <f t="shared" si="0"/>
        <v>269</v>
      </c>
    </row>
    <row r="11" spans="1:14" ht="6" customHeight="1">
      <c r="B11" s="387"/>
      <c r="C11" s="388"/>
      <c r="D11" s="388"/>
      <c r="E11" s="85"/>
      <c r="F11" s="85"/>
      <c r="G11" s="379"/>
      <c r="H11" s="358"/>
      <c r="I11" s="379"/>
      <c r="J11" s="379"/>
      <c r="K11" s="379"/>
      <c r="L11" s="379"/>
      <c r="M11" s="379"/>
      <c r="N11" s="379"/>
    </row>
    <row r="12" spans="1:14" ht="11.1" customHeight="1">
      <c r="B12" s="164">
        <v>30</v>
      </c>
      <c r="C12" s="165"/>
      <c r="D12" s="1410" t="s">
        <v>29</v>
      </c>
      <c r="E12" s="1410"/>
      <c r="F12" s="1411"/>
      <c r="G12" s="997">
        <v>10815</v>
      </c>
      <c r="H12" s="1008" t="str">
        <f>IF(SUM(I12:R12)-G12=0,"",SUM(I12:R12)-G12)</f>
        <v/>
      </c>
      <c r="I12" s="1001">
        <v>783</v>
      </c>
      <c r="J12" s="1001">
        <v>4590</v>
      </c>
      <c r="K12" s="1001">
        <v>92</v>
      </c>
      <c r="L12" s="1001">
        <v>4759</v>
      </c>
      <c r="M12" s="1001">
        <v>579</v>
      </c>
      <c r="N12" s="1344">
        <v>12</v>
      </c>
    </row>
    <row r="13" spans="1:14" ht="11.1" customHeight="1">
      <c r="B13" s="164">
        <v>31</v>
      </c>
      <c r="C13" s="165"/>
      <c r="D13" s="1410" t="s">
        <v>85</v>
      </c>
      <c r="E13" s="1410"/>
      <c r="F13" s="1411"/>
      <c r="G13" s="998">
        <v>3557</v>
      </c>
      <c r="H13" s="1008" t="str">
        <f>IF(SUM(I13:R13)-G13=0,"",SUM(I13:R13)-G13)</f>
        <v/>
      </c>
      <c r="I13" s="1002">
        <v>251</v>
      </c>
      <c r="J13" s="1002">
        <v>847</v>
      </c>
      <c r="K13" s="1002">
        <v>80</v>
      </c>
      <c r="L13" s="1002">
        <v>930</v>
      </c>
      <c r="M13" s="1002">
        <v>1375</v>
      </c>
      <c r="N13" s="998">
        <v>74</v>
      </c>
    </row>
    <row r="14" spans="1:14" ht="11.1" customHeight="1">
      <c r="B14" s="164">
        <v>33</v>
      </c>
      <c r="C14" s="165"/>
      <c r="D14" s="1410" t="s">
        <v>86</v>
      </c>
      <c r="E14" s="1410"/>
      <c r="F14" s="1411"/>
      <c r="G14" s="998">
        <v>1340</v>
      </c>
      <c r="H14" s="1008" t="str">
        <f>IF(SUM(I14:R14)-G14=0,"",SUM(I14:R14)-G14)</f>
        <v/>
      </c>
      <c r="I14" s="1002">
        <v>114</v>
      </c>
      <c r="J14" s="1002">
        <v>454</v>
      </c>
      <c r="K14" s="1002">
        <v>50</v>
      </c>
      <c r="L14" s="1002">
        <v>329</v>
      </c>
      <c r="M14" s="1002">
        <v>393</v>
      </c>
      <c r="N14" s="998"/>
    </row>
    <row r="15" spans="1:14" ht="11.1" customHeight="1">
      <c r="B15" s="164">
        <v>34</v>
      </c>
      <c r="C15" s="165"/>
      <c r="D15" s="1410" t="s">
        <v>87</v>
      </c>
      <c r="E15" s="1410"/>
      <c r="F15" s="1411"/>
      <c r="G15" s="998">
        <v>16</v>
      </c>
      <c r="H15" s="1008" t="str">
        <f>IF(SUM(I15:R15)-G15=0,"",SUM(I15:R15)-G15)</f>
        <v/>
      </c>
      <c r="I15" s="1002"/>
      <c r="J15" s="1002"/>
      <c r="K15" s="1002"/>
      <c r="L15" s="1002"/>
      <c r="M15" s="1002"/>
      <c r="N15" s="998">
        <v>16</v>
      </c>
    </row>
    <row r="16" spans="1:14" s="606" customFormat="1" ht="11.1" customHeight="1">
      <c r="B16" s="1271"/>
      <c r="C16" s="662">
        <v>340</v>
      </c>
      <c r="D16" s="663" t="s">
        <v>357</v>
      </c>
      <c r="E16" s="663"/>
      <c r="F16" s="1258"/>
      <c r="G16" s="999">
        <v>15</v>
      </c>
      <c r="H16" s="1008" t="str">
        <f>IF(SUM(I16:Q16)-G16=0,"",SUM(I16:Q16)-G16)</f>
        <v/>
      </c>
      <c r="I16" s="1003"/>
      <c r="J16" s="1003"/>
      <c r="K16" s="1003"/>
      <c r="L16" s="1003"/>
      <c r="M16" s="1003"/>
      <c r="N16" s="999">
        <v>15</v>
      </c>
    </row>
    <row r="17" spans="2:14" s="606" customFormat="1" ht="11.1" customHeight="1">
      <c r="B17" s="607"/>
      <c r="C17" s="603">
        <v>341</v>
      </c>
      <c r="D17" s="604" t="s">
        <v>209</v>
      </c>
      <c r="E17" s="604"/>
      <c r="F17" s="605"/>
      <c r="G17" s="999"/>
      <c r="H17" s="1008" t="str">
        <f t="shared" ref="H17:H30" si="1">IF(SUM(I17:R17)-G17=0,"",SUM(I17:R17)-G17)</f>
        <v/>
      </c>
      <c r="I17" s="1003"/>
      <c r="J17" s="1003"/>
      <c r="K17" s="1003"/>
      <c r="L17" s="1003"/>
      <c r="M17" s="1003"/>
      <c r="N17" s="999"/>
    </row>
    <row r="18" spans="2:14" s="606" customFormat="1" ht="11.1" customHeight="1">
      <c r="B18" s="607"/>
      <c r="C18" s="603" t="s">
        <v>206</v>
      </c>
      <c r="D18" s="604" t="s">
        <v>210</v>
      </c>
      <c r="E18" s="604"/>
      <c r="F18" s="605"/>
      <c r="G18" s="999">
        <v>1</v>
      </c>
      <c r="H18" s="1008" t="str">
        <f t="shared" si="1"/>
        <v/>
      </c>
      <c r="I18" s="1003"/>
      <c r="J18" s="1003"/>
      <c r="K18" s="1003"/>
      <c r="L18" s="1003"/>
      <c r="M18" s="1003"/>
      <c r="N18" s="999">
        <v>1</v>
      </c>
    </row>
    <row r="19" spans="2:14" ht="11.1" customHeight="1">
      <c r="B19" s="164">
        <v>35</v>
      </c>
      <c r="C19" s="165"/>
      <c r="D19" s="1410" t="s">
        <v>178</v>
      </c>
      <c r="E19" s="1410"/>
      <c r="F19" s="1411"/>
      <c r="G19" s="998"/>
      <c r="H19" s="1008" t="str">
        <f t="shared" si="1"/>
        <v/>
      </c>
      <c r="I19" s="1002"/>
      <c r="J19" s="1002"/>
      <c r="K19" s="1002"/>
      <c r="L19" s="1002"/>
      <c r="M19" s="1002"/>
      <c r="N19" s="998"/>
    </row>
    <row r="20" spans="2:14" s="606" customFormat="1" ht="11.1" customHeight="1">
      <c r="B20" s="607"/>
      <c r="C20" s="603">
        <v>350</v>
      </c>
      <c r="D20" s="604" t="s">
        <v>199</v>
      </c>
      <c r="E20" s="604"/>
      <c r="F20" s="605"/>
      <c r="G20" s="999"/>
      <c r="H20" s="1008" t="str">
        <f t="shared" si="1"/>
        <v/>
      </c>
      <c r="I20" s="1003"/>
      <c r="J20" s="1003"/>
      <c r="K20" s="1003"/>
      <c r="L20" s="1003"/>
      <c r="M20" s="1003"/>
      <c r="N20" s="999"/>
    </row>
    <row r="21" spans="2:14" s="606" customFormat="1" ht="11.1" customHeight="1">
      <c r="B21" s="607"/>
      <c r="C21" s="603">
        <v>3510</v>
      </c>
      <c r="D21" s="604" t="s">
        <v>204</v>
      </c>
      <c r="E21" s="604"/>
      <c r="F21" s="605"/>
      <c r="G21" s="999"/>
      <c r="H21" s="1008" t="str">
        <f t="shared" si="1"/>
        <v/>
      </c>
      <c r="I21" s="1003"/>
      <c r="J21" s="1003"/>
      <c r="K21" s="1003"/>
      <c r="L21" s="1003"/>
      <c r="M21" s="1003"/>
      <c r="N21" s="999"/>
    </row>
    <row r="22" spans="2:14" s="606" customFormat="1" ht="11.1" customHeight="1">
      <c r="B22" s="607"/>
      <c r="C22" s="603">
        <v>3511</v>
      </c>
      <c r="D22" s="930" t="s">
        <v>205</v>
      </c>
      <c r="E22" s="930"/>
      <c r="F22" s="931"/>
      <c r="G22" s="999"/>
      <c r="H22" s="1008" t="str">
        <f t="shared" si="1"/>
        <v/>
      </c>
      <c r="I22" s="1003"/>
      <c r="J22" s="1003"/>
      <c r="K22" s="1003"/>
      <c r="L22" s="1003"/>
      <c r="M22" s="1003"/>
      <c r="N22" s="999"/>
    </row>
    <row r="23" spans="2:14" s="606" customFormat="1" ht="11.1" customHeight="1">
      <c r="B23" s="607"/>
      <c r="C23" s="603">
        <v>3512</v>
      </c>
      <c r="D23" s="604" t="s">
        <v>292</v>
      </c>
      <c r="E23" s="604"/>
      <c r="F23" s="605"/>
      <c r="G23" s="999"/>
      <c r="H23" s="1008" t="str">
        <f t="shared" si="1"/>
        <v/>
      </c>
      <c r="I23" s="1003"/>
      <c r="J23" s="1003"/>
      <c r="K23" s="1003"/>
      <c r="L23" s="1003"/>
      <c r="M23" s="1003"/>
      <c r="N23" s="999"/>
    </row>
    <row r="24" spans="2:14" ht="11.1" customHeight="1">
      <c r="B24" s="164">
        <v>36</v>
      </c>
      <c r="C24" s="165"/>
      <c r="D24" s="1410" t="s">
        <v>88</v>
      </c>
      <c r="E24" s="1410"/>
      <c r="F24" s="1411"/>
      <c r="G24" s="998">
        <v>5988</v>
      </c>
      <c r="H24" s="1008" t="str">
        <f t="shared" si="1"/>
        <v/>
      </c>
      <c r="I24" s="1002">
        <v>82</v>
      </c>
      <c r="J24" s="1002">
        <v>962</v>
      </c>
      <c r="K24" s="1002">
        <v>46</v>
      </c>
      <c r="L24" s="1002">
        <v>4225</v>
      </c>
      <c r="M24" s="1002">
        <v>618</v>
      </c>
      <c r="N24" s="998">
        <v>55</v>
      </c>
    </row>
    <row r="25" spans="2:14" s="606" customFormat="1" ht="11.1" customHeight="1">
      <c r="B25" s="609"/>
      <c r="C25" s="610">
        <v>362</v>
      </c>
      <c r="D25" s="608"/>
      <c r="E25" s="1404" t="s">
        <v>177</v>
      </c>
      <c r="F25" s="1405"/>
      <c r="G25" s="595">
        <f>'F0b Planungsparameter'!H60</f>
        <v>55</v>
      </c>
      <c r="H25" s="1008" t="str">
        <f t="shared" si="1"/>
        <v/>
      </c>
      <c r="I25" s="1003"/>
      <c r="J25" s="1003"/>
      <c r="K25" s="1003"/>
      <c r="L25" s="1003"/>
      <c r="M25" s="1003"/>
      <c r="N25" s="999">
        <v>55</v>
      </c>
    </row>
    <row r="26" spans="2:14" s="606" customFormat="1" ht="11.1" customHeight="1">
      <c r="B26" s="609"/>
      <c r="C26" s="610">
        <v>366</v>
      </c>
      <c r="D26" s="608"/>
      <c r="E26" s="1404" t="s">
        <v>320</v>
      </c>
      <c r="F26" s="1405"/>
      <c r="G26" s="999">
        <v>64</v>
      </c>
      <c r="H26" s="1008" t="str">
        <f t="shared" si="1"/>
        <v/>
      </c>
      <c r="I26" s="1003"/>
      <c r="J26" s="1003"/>
      <c r="K26" s="1003"/>
      <c r="L26" s="1003"/>
      <c r="M26" s="1003">
        <v>64</v>
      </c>
      <c r="N26" s="999"/>
    </row>
    <row r="27" spans="2:14" ht="11.1" customHeight="1">
      <c r="B27" s="164">
        <v>37</v>
      </c>
      <c r="C27" s="165"/>
      <c r="D27" s="1410" t="s">
        <v>25</v>
      </c>
      <c r="E27" s="1410"/>
      <c r="F27" s="1411"/>
      <c r="G27" s="998"/>
      <c r="H27" s="1008" t="str">
        <f t="shared" si="1"/>
        <v/>
      </c>
      <c r="I27" s="1002"/>
      <c r="J27" s="1002"/>
      <c r="K27" s="1002"/>
      <c r="L27" s="1002"/>
      <c r="M27" s="1002"/>
      <c r="N27" s="998"/>
    </row>
    <row r="28" spans="2:14" ht="11.1" customHeight="1">
      <c r="B28" s="164">
        <v>38</v>
      </c>
      <c r="C28" s="165"/>
      <c r="D28" s="1410" t="s">
        <v>89</v>
      </c>
      <c r="E28" s="1410"/>
      <c r="F28" s="1411"/>
      <c r="G28" s="998"/>
      <c r="H28" s="1008" t="str">
        <f t="shared" si="1"/>
        <v/>
      </c>
      <c r="I28" s="1002"/>
      <c r="J28" s="1002"/>
      <c r="K28" s="1002"/>
      <c r="L28" s="1002"/>
      <c r="M28" s="1002"/>
      <c r="N28" s="998"/>
    </row>
    <row r="29" spans="2:14" ht="11.1" customHeight="1">
      <c r="B29" s="164">
        <v>39</v>
      </c>
      <c r="C29" s="165"/>
      <c r="D29" s="1410" t="s">
        <v>175</v>
      </c>
      <c r="E29" s="1410"/>
      <c r="F29" s="1411"/>
      <c r="G29" s="998">
        <v>3026</v>
      </c>
      <c r="H29" s="1008" t="str">
        <f t="shared" si="1"/>
        <v/>
      </c>
      <c r="I29" s="1002">
        <v>298</v>
      </c>
      <c r="J29" s="1002">
        <v>1906</v>
      </c>
      <c r="K29" s="1002">
        <v>315</v>
      </c>
      <c r="L29" s="1002">
        <v>74</v>
      </c>
      <c r="M29" s="1002">
        <v>321</v>
      </c>
      <c r="N29" s="998">
        <v>112</v>
      </c>
    </row>
    <row r="30" spans="2:14" s="606" customFormat="1" ht="11.1" customHeight="1">
      <c r="B30" s="612"/>
      <c r="C30" s="613">
        <v>394</v>
      </c>
      <c r="D30" s="614"/>
      <c r="E30" s="1416" t="s">
        <v>132</v>
      </c>
      <c r="F30" s="1417"/>
      <c r="G30" s="1000"/>
      <c r="H30" s="1011" t="str">
        <f t="shared" si="1"/>
        <v/>
      </c>
      <c r="I30" s="1004"/>
      <c r="J30" s="1004"/>
      <c r="K30" s="1004"/>
      <c r="L30" s="1004"/>
      <c r="M30" s="1004"/>
      <c r="N30" s="1345"/>
    </row>
    <row r="31" spans="2:14" ht="11.1" customHeight="1">
      <c r="B31" s="213"/>
      <c r="C31" s="279"/>
      <c r="D31" s="308"/>
      <c r="E31" s="312"/>
      <c r="F31" s="312"/>
      <c r="G31" s="379"/>
      <c r="H31" s="379"/>
      <c r="I31" s="203"/>
      <c r="J31" s="203"/>
      <c r="K31" s="203"/>
      <c r="L31" s="203"/>
      <c r="M31" s="203"/>
      <c r="N31" s="203"/>
    </row>
    <row r="32" spans="2:14" ht="6" customHeight="1">
      <c r="B32" s="164"/>
      <c r="C32" s="278"/>
      <c r="D32" s="309"/>
      <c r="E32" s="313"/>
      <c r="F32" s="313"/>
      <c r="G32" s="391"/>
      <c r="H32" s="376"/>
      <c r="I32" s="391"/>
      <c r="J32" s="391"/>
      <c r="K32" s="391"/>
      <c r="L32" s="391"/>
      <c r="M32" s="391"/>
      <c r="N32" s="1346"/>
    </row>
    <row r="33" spans="2:14" ht="11.1" customHeight="1">
      <c r="B33" s="164">
        <v>4</v>
      </c>
      <c r="C33" s="165"/>
      <c r="D33" s="1418" t="s">
        <v>34</v>
      </c>
      <c r="E33" s="1419"/>
      <c r="F33" s="1420"/>
      <c r="G33" s="384">
        <f>SUM(G36:G43)+G47+G52+G54+G55+G57</f>
        <v>24755</v>
      </c>
      <c r="H33" s="1012" t="str">
        <f>IF(SUM(I33:R33)-G33=0,"",SUM(I33:R33)-G33)</f>
        <v/>
      </c>
      <c r="I33" s="384">
        <f>SUM(I36:I43)+I47+I52+I54+I55+I57</f>
        <v>743</v>
      </c>
      <c r="J33" s="384">
        <f t="shared" ref="J33:N33" si="2">SUM(J36:J43)+J47+J52+J54+J55+J57</f>
        <v>5035</v>
      </c>
      <c r="K33" s="384">
        <f t="shared" si="2"/>
        <v>4</v>
      </c>
      <c r="L33" s="384">
        <f t="shared" si="2"/>
        <v>6295</v>
      </c>
      <c r="M33" s="384">
        <f t="shared" si="2"/>
        <v>1691</v>
      </c>
      <c r="N33" s="1347">
        <f t="shared" si="2"/>
        <v>10987</v>
      </c>
    </row>
    <row r="34" spans="2:14" ht="6" customHeight="1">
      <c r="B34" s="11"/>
      <c r="C34" s="12"/>
      <c r="D34" s="12"/>
      <c r="E34" s="2"/>
      <c r="F34" s="2"/>
      <c r="G34" s="379"/>
      <c r="H34" s="358"/>
      <c r="I34" s="379"/>
      <c r="J34" s="379"/>
      <c r="K34" s="379"/>
      <c r="L34" s="379"/>
      <c r="M34" s="379"/>
      <c r="N34" s="1348"/>
    </row>
    <row r="35" spans="2:14" ht="11.1" customHeight="1">
      <c r="B35" s="164">
        <v>40</v>
      </c>
      <c r="C35" s="165"/>
      <c r="D35" s="1410" t="s">
        <v>90</v>
      </c>
      <c r="E35" s="1410"/>
      <c r="F35" s="1411"/>
      <c r="G35" s="392">
        <f>G36+G37+G38+G39</f>
        <v>7584</v>
      </c>
      <c r="H35" s="358" t="str">
        <f>IF(SUM(G36:G39)=G35,"",SUM(G36:G39)-G35)</f>
        <v/>
      </c>
      <c r="I35" s="393"/>
      <c r="J35" s="393"/>
      <c r="K35" s="393"/>
      <c r="L35" s="393"/>
      <c r="M35" s="393"/>
      <c r="N35" s="1349"/>
    </row>
    <row r="36" spans="2:14" ht="11.1" customHeight="1">
      <c r="B36" s="164"/>
      <c r="C36" s="211">
        <v>400</v>
      </c>
      <c r="D36" s="1414" t="s">
        <v>91</v>
      </c>
      <c r="E36" s="1414"/>
      <c r="F36" s="1415"/>
      <c r="G36" s="1005">
        <v>6225</v>
      </c>
      <c r="H36" s="1008" t="str">
        <f t="shared" ref="H36:H58" si="3">IF(SUM(I36:R36)-G36=0,"",SUM(I36:R36)-G36)</f>
        <v/>
      </c>
      <c r="I36" s="1006"/>
      <c r="J36" s="1006"/>
      <c r="K36" s="1006"/>
      <c r="L36" s="1006"/>
      <c r="M36" s="1006"/>
      <c r="N36" s="1005">
        <v>6225</v>
      </c>
    </row>
    <row r="37" spans="2:14" ht="11.1" customHeight="1">
      <c r="B37" s="164"/>
      <c r="C37" s="211">
        <v>401</v>
      </c>
      <c r="D37" s="1414" t="s">
        <v>92</v>
      </c>
      <c r="E37" s="1414"/>
      <c r="F37" s="1415"/>
      <c r="G37" s="1005">
        <v>1120</v>
      </c>
      <c r="H37" s="1008" t="str">
        <f t="shared" si="3"/>
        <v/>
      </c>
      <c r="I37" s="1006"/>
      <c r="J37" s="1006"/>
      <c r="K37" s="1006"/>
      <c r="L37" s="1006"/>
      <c r="M37" s="1006"/>
      <c r="N37" s="1005">
        <v>1120</v>
      </c>
    </row>
    <row r="38" spans="2:14" ht="11.1" customHeight="1">
      <c r="B38" s="164"/>
      <c r="C38" s="211">
        <v>402</v>
      </c>
      <c r="D38" s="1414" t="s">
        <v>162</v>
      </c>
      <c r="E38" s="1414"/>
      <c r="F38" s="1415"/>
      <c r="G38" s="330">
        <f>'F0b Planungsparameter'!H43</f>
        <v>220</v>
      </c>
      <c r="H38" s="1008" t="str">
        <f t="shared" si="3"/>
        <v/>
      </c>
      <c r="I38" s="1006"/>
      <c r="J38" s="1006"/>
      <c r="K38" s="1006"/>
      <c r="L38" s="1006"/>
      <c r="M38" s="1006"/>
      <c r="N38" s="1005">
        <v>220</v>
      </c>
    </row>
    <row r="39" spans="2:14" ht="11.1" customHeight="1">
      <c r="B39" s="164"/>
      <c r="C39" s="211">
        <v>403</v>
      </c>
      <c r="D39" s="1414" t="s">
        <v>81</v>
      </c>
      <c r="E39" s="1414"/>
      <c r="F39" s="1415"/>
      <c r="G39" s="1005">
        <v>19</v>
      </c>
      <c r="H39" s="1008" t="str">
        <f t="shared" si="3"/>
        <v/>
      </c>
      <c r="I39" s="1006"/>
      <c r="J39" s="1006"/>
      <c r="K39" s="1006"/>
      <c r="L39" s="1006"/>
      <c r="M39" s="1006"/>
      <c r="N39" s="1005">
        <v>19</v>
      </c>
    </row>
    <row r="40" spans="2:14" ht="11.1" customHeight="1">
      <c r="B40" s="164">
        <v>41</v>
      </c>
      <c r="C40" s="165"/>
      <c r="D40" s="1410" t="s">
        <v>18</v>
      </c>
      <c r="E40" s="1410"/>
      <c r="F40" s="1411"/>
      <c r="G40" s="998">
        <v>270</v>
      </c>
      <c r="H40" s="1008" t="str">
        <f t="shared" si="3"/>
        <v/>
      </c>
      <c r="I40" s="1002">
        <v>1</v>
      </c>
      <c r="J40" s="1002"/>
      <c r="K40" s="1002"/>
      <c r="L40" s="1002"/>
      <c r="M40" s="1002">
        <v>19</v>
      </c>
      <c r="N40" s="998">
        <v>250</v>
      </c>
    </row>
    <row r="41" spans="2:14" ht="11.1" customHeight="1">
      <c r="B41" s="164">
        <v>42</v>
      </c>
      <c r="C41" s="165"/>
      <c r="D41" s="1410" t="s">
        <v>19</v>
      </c>
      <c r="E41" s="1410"/>
      <c r="F41" s="1411"/>
      <c r="G41" s="998">
        <v>6478</v>
      </c>
      <c r="H41" s="1008" t="str">
        <f t="shared" si="3"/>
        <v/>
      </c>
      <c r="I41" s="1002">
        <v>39</v>
      </c>
      <c r="J41" s="1002">
        <v>110</v>
      </c>
      <c r="K41" s="1002">
        <v>4</v>
      </c>
      <c r="L41" s="1002">
        <v>5106</v>
      </c>
      <c r="M41" s="1002">
        <v>1168</v>
      </c>
      <c r="N41" s="998">
        <v>51</v>
      </c>
    </row>
    <row r="42" spans="2:14" ht="11.1" customHeight="1">
      <c r="B42" s="164">
        <v>43</v>
      </c>
      <c r="C42" s="165"/>
      <c r="D42" s="1410" t="s">
        <v>94</v>
      </c>
      <c r="E42" s="1410"/>
      <c r="F42" s="1411"/>
      <c r="G42" s="998">
        <v>170</v>
      </c>
      <c r="H42" s="1008" t="str">
        <f t="shared" si="3"/>
        <v/>
      </c>
      <c r="I42" s="1002">
        <v>24</v>
      </c>
      <c r="J42" s="1002"/>
      <c r="K42" s="1002"/>
      <c r="L42" s="1002">
        <v>141</v>
      </c>
      <c r="M42" s="1002">
        <v>5</v>
      </c>
      <c r="N42" s="998"/>
    </row>
    <row r="43" spans="2:14" ht="11.1" customHeight="1">
      <c r="B43" s="164">
        <v>44</v>
      </c>
      <c r="C43" s="165"/>
      <c r="D43" s="1410" t="s">
        <v>95</v>
      </c>
      <c r="E43" s="1410"/>
      <c r="F43" s="1411"/>
      <c r="G43" s="998">
        <v>54</v>
      </c>
      <c r="H43" s="1008" t="str">
        <f t="shared" si="3"/>
        <v/>
      </c>
      <c r="I43" s="1002">
        <v>1</v>
      </c>
      <c r="J43" s="1002">
        <v>31</v>
      </c>
      <c r="K43" s="1002"/>
      <c r="L43" s="1002"/>
      <c r="M43" s="1002">
        <v>1</v>
      </c>
      <c r="N43" s="998">
        <v>21</v>
      </c>
    </row>
    <row r="44" spans="2:14" s="606" customFormat="1" ht="11.1" customHeight="1">
      <c r="B44" s="1271"/>
      <c r="C44" s="662">
        <v>440</v>
      </c>
      <c r="D44" s="663" t="s">
        <v>358</v>
      </c>
      <c r="E44" s="663"/>
      <c r="F44" s="1258"/>
      <c r="G44" s="999">
        <v>11</v>
      </c>
      <c r="H44" s="1008" t="str">
        <f t="shared" si="3"/>
        <v/>
      </c>
      <c r="I44" s="1003"/>
      <c r="J44" s="1003"/>
      <c r="K44" s="1003"/>
      <c r="L44" s="1003"/>
      <c r="M44" s="1003"/>
      <c r="N44" s="999">
        <v>11</v>
      </c>
    </row>
    <row r="45" spans="2:14" s="606" customFormat="1" ht="11.1" customHeight="1">
      <c r="B45" s="607"/>
      <c r="C45" s="603">
        <v>441</v>
      </c>
      <c r="D45" s="604" t="s">
        <v>211</v>
      </c>
      <c r="E45" s="604"/>
      <c r="F45" s="605"/>
      <c r="G45" s="999"/>
      <c r="H45" s="1008" t="str">
        <f t="shared" si="3"/>
        <v/>
      </c>
      <c r="I45" s="1003"/>
      <c r="J45" s="1003"/>
      <c r="K45" s="1003"/>
      <c r="L45" s="1003"/>
      <c r="M45" s="1003"/>
      <c r="N45" s="999"/>
    </row>
    <row r="46" spans="2:14" s="606" customFormat="1" ht="11.1" customHeight="1">
      <c r="B46" s="607"/>
      <c r="C46" s="603" t="s">
        <v>207</v>
      </c>
      <c r="D46" s="604" t="s">
        <v>208</v>
      </c>
      <c r="E46" s="604"/>
      <c r="F46" s="605"/>
      <c r="G46" s="999">
        <v>12</v>
      </c>
      <c r="H46" s="1008" t="str">
        <f t="shared" si="3"/>
        <v/>
      </c>
      <c r="I46" s="1003"/>
      <c r="J46" s="1003"/>
      <c r="K46" s="1003"/>
      <c r="L46" s="1003"/>
      <c r="M46" s="1003"/>
      <c r="N46" s="999">
        <v>12</v>
      </c>
    </row>
    <row r="47" spans="2:14" ht="11.1" customHeight="1">
      <c r="B47" s="164">
        <v>45</v>
      </c>
      <c r="C47" s="165"/>
      <c r="D47" s="1410" t="s">
        <v>96</v>
      </c>
      <c r="E47" s="1410"/>
      <c r="F47" s="1411"/>
      <c r="G47" s="998">
        <v>336</v>
      </c>
      <c r="H47" s="1008" t="str">
        <f t="shared" si="3"/>
        <v/>
      </c>
      <c r="I47" s="1002"/>
      <c r="J47" s="1002"/>
      <c r="K47" s="1002"/>
      <c r="L47" s="1002"/>
      <c r="M47" s="1002">
        <v>336</v>
      </c>
      <c r="N47" s="998"/>
    </row>
    <row r="48" spans="2:14" s="606" customFormat="1" ht="11.1" customHeight="1">
      <c r="B48" s="607"/>
      <c r="C48" s="603">
        <v>450</v>
      </c>
      <c r="D48" s="604" t="s">
        <v>199</v>
      </c>
      <c r="E48" s="604"/>
      <c r="F48" s="605"/>
      <c r="G48" s="999">
        <v>5</v>
      </c>
      <c r="H48" s="1008" t="str">
        <f t="shared" si="3"/>
        <v/>
      </c>
      <c r="I48" s="1003"/>
      <c r="J48" s="1014"/>
      <c r="K48" s="1003"/>
      <c r="L48" s="1003"/>
      <c r="M48" s="1003">
        <v>5</v>
      </c>
      <c r="N48" s="999"/>
    </row>
    <row r="49" spans="2:18" s="606" customFormat="1" ht="11.1" customHeight="1">
      <c r="B49" s="607"/>
      <c r="C49" s="603">
        <v>4510</v>
      </c>
      <c r="D49" s="604" t="s">
        <v>204</v>
      </c>
      <c r="E49" s="604"/>
      <c r="F49" s="605"/>
      <c r="G49" s="999">
        <v>331</v>
      </c>
      <c r="H49" s="1008" t="str">
        <f t="shared" si="3"/>
        <v/>
      </c>
      <c r="I49" s="1003"/>
      <c r="J49" s="1003"/>
      <c r="K49" s="1003"/>
      <c r="L49" s="1003"/>
      <c r="M49" s="1003">
        <v>331</v>
      </c>
      <c r="N49" s="999"/>
    </row>
    <row r="50" spans="2:18" s="606" customFormat="1" ht="11.1" customHeight="1">
      <c r="B50" s="607"/>
      <c r="C50" s="603">
        <v>4511</v>
      </c>
      <c r="D50" s="930" t="s">
        <v>205</v>
      </c>
      <c r="E50" s="930"/>
      <c r="F50" s="931"/>
      <c r="G50" s="999"/>
      <c r="H50" s="1008" t="str">
        <f t="shared" si="3"/>
        <v/>
      </c>
      <c r="I50" s="1003"/>
      <c r="J50" s="1003"/>
      <c r="K50" s="1003"/>
      <c r="L50" s="1003"/>
      <c r="M50" s="1003"/>
      <c r="N50" s="999"/>
    </row>
    <row r="51" spans="2:18" s="606" customFormat="1" ht="11.1" customHeight="1">
      <c r="B51" s="607"/>
      <c r="C51" s="603">
        <v>4512</v>
      </c>
      <c r="D51" s="604" t="s">
        <v>292</v>
      </c>
      <c r="E51" s="604"/>
      <c r="F51" s="605"/>
      <c r="G51" s="999"/>
      <c r="H51" s="1008" t="str">
        <f t="shared" si="3"/>
        <v/>
      </c>
      <c r="I51" s="1003"/>
      <c r="J51" s="1003"/>
      <c r="K51" s="1003"/>
      <c r="L51" s="1003"/>
      <c r="M51" s="1003"/>
      <c r="N51" s="999"/>
    </row>
    <row r="52" spans="2:18" ht="11.1" customHeight="1">
      <c r="B52" s="164">
        <v>46</v>
      </c>
      <c r="C52" s="165"/>
      <c r="D52" s="1410" t="s">
        <v>98</v>
      </c>
      <c r="E52" s="1410"/>
      <c r="F52" s="1411"/>
      <c r="G52" s="998">
        <v>6837</v>
      </c>
      <c r="H52" s="1008" t="str">
        <f t="shared" si="3"/>
        <v/>
      </c>
      <c r="I52" s="1002">
        <v>60</v>
      </c>
      <c r="J52" s="1002">
        <v>3035</v>
      </c>
      <c r="K52" s="1002"/>
      <c r="L52" s="1002">
        <v>1029</v>
      </c>
      <c r="M52" s="1002">
        <v>99</v>
      </c>
      <c r="N52" s="998">
        <v>2614</v>
      </c>
    </row>
    <row r="53" spans="2:18" s="606" customFormat="1" ht="11.1" customHeight="1">
      <c r="B53" s="609"/>
      <c r="C53" s="610">
        <v>462</v>
      </c>
      <c r="D53" s="608"/>
      <c r="E53" s="1404" t="s">
        <v>176</v>
      </c>
      <c r="F53" s="1405"/>
      <c r="G53" s="595">
        <f>'F0b Planungsparameter'!H54</f>
        <v>2611</v>
      </c>
      <c r="H53" s="1008" t="str">
        <f t="shared" si="3"/>
        <v/>
      </c>
      <c r="I53" s="1007"/>
      <c r="J53" s="1007"/>
      <c r="K53" s="1007"/>
      <c r="L53" s="1007"/>
      <c r="M53" s="1007"/>
      <c r="N53" s="1350">
        <v>2611</v>
      </c>
      <c r="O53" s="208"/>
      <c r="P53" s="208"/>
      <c r="Q53" s="208"/>
      <c r="R53" s="208"/>
    </row>
    <row r="54" spans="2:18" ht="11.1" customHeight="1">
      <c r="B54" s="164">
        <v>47</v>
      </c>
      <c r="C54" s="165"/>
      <c r="D54" s="1410" t="s">
        <v>25</v>
      </c>
      <c r="E54" s="1410"/>
      <c r="F54" s="1411"/>
      <c r="G54" s="998"/>
      <c r="H54" s="1008" t="str">
        <f t="shared" si="3"/>
        <v/>
      </c>
      <c r="I54" s="1002"/>
      <c r="J54" s="1002"/>
      <c r="K54" s="1002"/>
      <c r="L54" s="1002"/>
      <c r="M54" s="1002"/>
      <c r="N54" s="998"/>
    </row>
    <row r="55" spans="2:18" ht="11.1" customHeight="1">
      <c r="B55" s="164">
        <v>48</v>
      </c>
      <c r="C55" s="165"/>
      <c r="D55" s="1410" t="s">
        <v>97</v>
      </c>
      <c r="E55" s="1410"/>
      <c r="F55" s="1411"/>
      <c r="G55" s="998"/>
      <c r="H55" s="1008" t="str">
        <f t="shared" si="3"/>
        <v/>
      </c>
      <c r="I55" s="1002"/>
      <c r="J55" s="1002"/>
      <c r="K55" s="1002"/>
      <c r="L55" s="1002"/>
      <c r="M55" s="1002"/>
      <c r="N55" s="998"/>
    </row>
    <row r="56" spans="2:18" s="606" customFormat="1" ht="11.1" customHeight="1">
      <c r="B56" s="607"/>
      <c r="C56" s="603">
        <v>489</v>
      </c>
      <c r="D56" s="604" t="s">
        <v>200</v>
      </c>
      <c r="E56" s="604"/>
      <c r="F56" s="605"/>
      <c r="G56" s="999"/>
      <c r="H56" s="1008" t="str">
        <f t="shared" si="3"/>
        <v/>
      </c>
      <c r="I56" s="1003"/>
      <c r="J56" s="1003"/>
      <c r="K56" s="1003"/>
      <c r="L56" s="1003"/>
      <c r="M56" s="1003"/>
      <c r="N56" s="999"/>
    </row>
    <row r="57" spans="2:18" ht="11.1" customHeight="1">
      <c r="B57" s="164">
        <v>49</v>
      </c>
      <c r="C57" s="165"/>
      <c r="D57" s="309" t="s">
        <v>175</v>
      </c>
      <c r="E57" s="309"/>
      <c r="F57" s="310"/>
      <c r="G57" s="998">
        <v>3026</v>
      </c>
      <c r="H57" s="1008" t="str">
        <f t="shared" si="3"/>
        <v/>
      </c>
      <c r="I57" s="1002">
        <v>618</v>
      </c>
      <c r="J57" s="1002">
        <v>1859</v>
      </c>
      <c r="K57" s="1002"/>
      <c r="L57" s="1002">
        <v>19</v>
      </c>
      <c r="M57" s="1002">
        <v>63</v>
      </c>
      <c r="N57" s="998">
        <v>467</v>
      </c>
    </row>
    <row r="58" spans="2:18" s="606" customFormat="1" ht="11.1" customHeight="1">
      <c r="B58" s="607"/>
      <c r="C58" s="603">
        <v>494</v>
      </c>
      <c r="D58" s="608"/>
      <c r="E58" s="1404" t="s">
        <v>151</v>
      </c>
      <c r="F58" s="1405"/>
      <c r="G58" s="1000">
        <v>549</v>
      </c>
      <c r="H58" s="1008" t="str">
        <f t="shared" si="3"/>
        <v/>
      </c>
      <c r="I58" s="1004"/>
      <c r="J58" s="1004"/>
      <c r="K58" s="1004"/>
      <c r="L58" s="1004"/>
      <c r="M58" s="1004"/>
      <c r="N58" s="1345">
        <v>549</v>
      </c>
    </row>
    <row r="59" spans="2:18" ht="6" customHeight="1">
      <c r="B59" s="213"/>
      <c r="C59" s="279"/>
      <c r="D59" s="279"/>
      <c r="E59" s="214"/>
      <c r="F59" s="214"/>
      <c r="G59" s="203"/>
      <c r="H59" s="358"/>
      <c r="I59" s="203"/>
      <c r="J59" s="203"/>
      <c r="K59" s="203"/>
      <c r="L59" s="203"/>
      <c r="M59" s="203"/>
      <c r="N59" s="203"/>
    </row>
    <row r="60" spans="2:18" ht="6" customHeight="1">
      <c r="B60" s="163"/>
      <c r="C60" s="215"/>
      <c r="D60" s="215"/>
      <c r="E60" s="156"/>
      <c r="F60" s="156"/>
      <c r="G60" s="156"/>
      <c r="H60" s="156"/>
      <c r="I60" s="216"/>
      <c r="J60" s="216"/>
      <c r="K60" s="216"/>
      <c r="L60" s="216"/>
      <c r="M60" s="216"/>
      <c r="N60" s="1351"/>
    </row>
    <row r="61" spans="2:18">
      <c r="B61" s="5"/>
      <c r="C61" s="2"/>
      <c r="D61" s="158" t="s">
        <v>99</v>
      </c>
      <c r="E61" s="2"/>
      <c r="F61" s="2"/>
      <c r="G61" s="72">
        <f>G33</f>
        <v>24755</v>
      </c>
      <c r="H61" s="1008" t="str">
        <f>IF(SUM(I61:R61)-G61=0,"",SUM(I61:R61)-G61)</f>
        <v/>
      </c>
      <c r="I61" s="72">
        <f>I33</f>
        <v>743</v>
      </c>
      <c r="J61" s="72">
        <f t="shared" ref="J61:N61" si="4">J33</f>
        <v>5035</v>
      </c>
      <c r="K61" s="72">
        <f t="shared" si="4"/>
        <v>4</v>
      </c>
      <c r="L61" s="72">
        <f t="shared" si="4"/>
        <v>6295</v>
      </c>
      <c r="M61" s="72">
        <f t="shared" si="4"/>
        <v>1691</v>
      </c>
      <c r="N61" s="1352">
        <f t="shared" si="4"/>
        <v>10987</v>
      </c>
    </row>
    <row r="62" spans="2:18">
      <c r="B62" s="5"/>
      <c r="C62" s="2"/>
      <c r="D62" s="158" t="s">
        <v>100</v>
      </c>
      <c r="E62" s="2"/>
      <c r="F62" s="2"/>
      <c r="G62" s="72">
        <f>-G10</f>
        <v>-24742</v>
      </c>
      <c r="H62" s="1008" t="str">
        <f>IF(SUM(I62:R62)-G62=0,"",SUM(I62:R62)-G62)</f>
        <v/>
      </c>
      <c r="I62" s="72">
        <f t="shared" ref="I62:N62" si="5">-I10</f>
        <v>-1528</v>
      </c>
      <c r="J62" s="72">
        <f t="shared" si="5"/>
        <v>-8759</v>
      </c>
      <c r="K62" s="72">
        <f t="shared" si="5"/>
        <v>-583</v>
      </c>
      <c r="L62" s="72">
        <f t="shared" si="5"/>
        <v>-10317</v>
      </c>
      <c r="M62" s="72">
        <f t="shared" si="5"/>
        <v>-3286</v>
      </c>
      <c r="N62" s="1352">
        <f t="shared" si="5"/>
        <v>-269</v>
      </c>
    </row>
    <row r="63" spans="2:18" ht="6" customHeight="1">
      <c r="B63" s="5"/>
      <c r="C63" s="2"/>
      <c r="D63" s="2"/>
      <c r="E63" s="2"/>
      <c r="F63" s="2"/>
      <c r="G63" s="8"/>
      <c r="H63" s="389"/>
      <c r="I63" s="8"/>
      <c r="J63" s="8"/>
      <c r="K63" s="8"/>
      <c r="L63" s="8"/>
      <c r="M63" s="8"/>
      <c r="N63" s="299"/>
    </row>
    <row r="64" spans="2:18">
      <c r="B64" s="5"/>
      <c r="C64" s="85"/>
      <c r="D64" s="107" t="s">
        <v>187</v>
      </c>
      <c r="E64" s="85"/>
      <c r="F64" s="85"/>
      <c r="G64" s="86"/>
      <c r="H64" s="389"/>
      <c r="I64" s="389"/>
      <c r="J64" s="389"/>
      <c r="K64" s="389"/>
      <c r="L64" s="389"/>
      <c r="M64" s="389"/>
      <c r="N64" s="1353"/>
    </row>
    <row r="65" spans="2:14">
      <c r="B65" s="5"/>
      <c r="C65" s="85">
        <v>299</v>
      </c>
      <c r="D65" s="85" t="s">
        <v>188</v>
      </c>
      <c r="E65" s="85"/>
      <c r="F65" s="85"/>
      <c r="G65" s="394">
        <f>G61+G62</f>
        <v>13</v>
      </c>
      <c r="H65" s="385" t="str">
        <f>IF(SUM(I65:R65)-G65=0,"",SUM(I65:R65)-G65)</f>
        <v/>
      </c>
      <c r="I65" s="394">
        <f>I61+I62</f>
        <v>-785</v>
      </c>
      <c r="J65" s="394">
        <f t="shared" ref="J65:N65" si="6">J61+J62</f>
        <v>-3724</v>
      </c>
      <c r="K65" s="394">
        <f t="shared" si="6"/>
        <v>-579</v>
      </c>
      <c r="L65" s="394">
        <f t="shared" si="6"/>
        <v>-4022</v>
      </c>
      <c r="M65" s="394">
        <f t="shared" si="6"/>
        <v>-1595</v>
      </c>
      <c r="N65" s="1354">
        <f t="shared" si="6"/>
        <v>10718</v>
      </c>
    </row>
    <row r="66" spans="2:14">
      <c r="B66" s="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358"/>
    </row>
    <row r="67" spans="2:14" ht="6" customHeight="1">
      <c r="B67" s="61"/>
      <c r="C67" s="390"/>
      <c r="D67" s="390"/>
      <c r="E67" s="390"/>
      <c r="F67" s="390"/>
      <c r="G67" s="390"/>
      <c r="H67" s="390"/>
      <c r="I67" s="390"/>
      <c r="J67" s="390"/>
      <c r="K67" s="390"/>
      <c r="L67" s="390"/>
      <c r="M67" s="390"/>
      <c r="N67" s="828"/>
    </row>
    <row r="69" spans="2:14">
      <c r="I69" s="261"/>
    </row>
  </sheetData>
  <mergeCells count="32">
    <mergeCell ref="D27:F27"/>
    <mergeCell ref="B3:H3"/>
    <mergeCell ref="B5:F5"/>
    <mergeCell ref="D10:F10"/>
    <mergeCell ref="D12:F12"/>
    <mergeCell ref="D13:F13"/>
    <mergeCell ref="D14:F14"/>
    <mergeCell ref="D15:F15"/>
    <mergeCell ref="D19:F19"/>
    <mergeCell ref="D24:F24"/>
    <mergeCell ref="E25:F25"/>
    <mergeCell ref="E26:F26"/>
    <mergeCell ref="G5:I5"/>
    <mergeCell ref="E58:F58"/>
    <mergeCell ref="D43:F43"/>
    <mergeCell ref="D47:F47"/>
    <mergeCell ref="D52:F52"/>
    <mergeCell ref="E53:F53"/>
    <mergeCell ref="D54:F54"/>
    <mergeCell ref="D55:F55"/>
    <mergeCell ref="D42:F42"/>
    <mergeCell ref="D28:F28"/>
    <mergeCell ref="D29:F29"/>
    <mergeCell ref="E30:F30"/>
    <mergeCell ref="D33:F33"/>
    <mergeCell ref="D35:F35"/>
    <mergeCell ref="D36:F36"/>
    <mergeCell ref="D37:F37"/>
    <mergeCell ref="D38:F38"/>
    <mergeCell ref="D39:F39"/>
    <mergeCell ref="D40:F40"/>
    <mergeCell ref="D41:F41"/>
  </mergeCells>
  <phoneticPr fontId="2" type="noConversion"/>
  <conditionalFormatting sqref="G65">
    <cfRule type="cellIs" dxfId="26" priority="21" operator="lessThan">
      <formula>0</formula>
    </cfRule>
    <cfRule type="cellIs" dxfId="25" priority="22" operator="greaterThanOrEqual">
      <formula>0</formula>
    </cfRule>
  </conditionalFormatting>
  <conditionalFormatting sqref="H65">
    <cfRule type="cellIs" dxfId="24" priority="19" operator="lessThan">
      <formula>0</formula>
    </cfRule>
    <cfRule type="cellIs" dxfId="23" priority="20" operator="greaterThanOrEqual">
      <formula>0</formula>
    </cfRule>
  </conditionalFormatting>
  <conditionalFormatting sqref="O69:Q69">
    <cfRule type="cellIs" dxfId="22" priority="9" operator="lessThan">
      <formula>0</formula>
    </cfRule>
    <cfRule type="cellIs" dxfId="21" priority="10" operator="greaterThanOrEqual">
      <formula>0</formula>
    </cfRule>
  </conditionalFormatting>
  <conditionalFormatting sqref="I65:N65">
    <cfRule type="cellIs" dxfId="20" priority="1" operator="lessThan">
      <formula>0</formula>
    </cfRule>
    <cfRule type="cellIs" dxfId="19" priority="2" operator="greaterThanOrEqual">
      <formula>0</formula>
    </cfRule>
  </conditionalFormatting>
  <pageMargins left="0.59055118110236227" right="0.55118110236220474" top="0.55118110236220474" bottom="0.55118110236220474" header="0.43307086614173229" footer="0.43307086614173229"/>
  <pageSetup paperSize="9" scale="91" fitToWidth="2" orientation="portrait" r:id="rId1"/>
  <headerFooter>
    <oddFooter>&amp;L&amp;8&amp;K000000© Legrafin                 &amp;D / &amp;T&amp;C&amp;8&amp;K000000Seite  &amp;P&amp;R&amp;8&amp;K000000&amp;F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S82"/>
  <sheetViews>
    <sheetView zoomScale="150" zoomScaleNormal="150" zoomScalePageLayoutView="150" workbookViewId="0">
      <pane xSplit="6" ySplit="11" topLeftCell="H12" activePane="bottomRight" state="frozenSplit"/>
      <selection pane="topRight" activeCell="G1" sqref="G1"/>
      <selection pane="bottomLeft" activeCell="A12" sqref="A12"/>
      <selection pane="bottomRight" activeCell="J1" sqref="J1"/>
    </sheetView>
  </sheetViews>
  <sheetFormatPr baseColWidth="10" defaultColWidth="11.42578125" defaultRowHeight="11.25"/>
  <cols>
    <col min="1" max="1" width="0.85546875" style="86" customWidth="1"/>
    <col min="2" max="2" width="2.7109375" style="86" customWidth="1"/>
    <col min="3" max="3" width="4.140625" style="434" customWidth="1"/>
    <col min="4" max="4" width="1.7109375" style="86" customWidth="1"/>
    <col min="5" max="5" width="16.85546875" style="86" customWidth="1"/>
    <col min="6" max="6" width="15.140625" style="86" customWidth="1"/>
    <col min="7" max="8" width="8.28515625" style="396" customWidth="1"/>
    <col min="9" max="14" width="8" style="86" customWidth="1"/>
    <col min="15" max="21" width="6.140625" style="86" customWidth="1"/>
    <col min="22" max="22" width="2.42578125" style="86" customWidth="1"/>
    <col min="23" max="29" width="6.140625" style="86" customWidth="1"/>
    <col min="30" max="30" width="2.42578125" style="86" customWidth="1"/>
    <col min="31" max="37" width="6.140625" style="86" customWidth="1"/>
    <col min="38" max="38" width="2.42578125" style="86" customWidth="1"/>
    <col min="39" max="45" width="6.140625" style="86" customWidth="1"/>
    <col min="46" max="46" width="2.42578125" style="86" customWidth="1"/>
    <col min="47" max="53" width="6.140625" style="86" customWidth="1"/>
    <col min="54" max="54" width="2.42578125" style="86" customWidth="1"/>
    <col min="55" max="61" width="6.140625" style="86" customWidth="1"/>
    <col min="62" max="64" width="2.42578125" style="86" customWidth="1"/>
    <col min="65" max="16384" width="11.42578125" style="86"/>
  </cols>
  <sheetData>
    <row r="1" spans="1:64" s="80" customFormat="1" ht="12">
      <c r="B1" s="1438" t="str">
        <f>"Aufgaben- und Finanzplan "&amp;TEXT(Budget2,0)&amp;" - "&amp;TEXT(Finz1+4,0)</f>
        <v>Aufgaben- und Finanzplan 2022 - 2027</v>
      </c>
      <c r="C1" s="1438"/>
      <c r="D1" s="1438"/>
      <c r="E1" s="1438"/>
      <c r="F1" s="1438"/>
      <c r="G1" s="1438"/>
      <c r="H1" s="1438"/>
      <c r="M1" s="245" t="str">
        <f>"Gemeinde "&amp;TEXT(Gemeinde,0)</f>
        <v>Gemeinde Menznau</v>
      </c>
    </row>
    <row r="2" spans="1:64">
      <c r="G2" s="86"/>
      <c r="H2" s="86"/>
    </row>
    <row r="3" spans="1:64" s="82" customFormat="1" ht="12.75">
      <c r="A3" s="185"/>
      <c r="B3" s="1421" t="s">
        <v>319</v>
      </c>
      <c r="C3" s="1421"/>
      <c r="D3" s="1422"/>
      <c r="E3" s="1422"/>
      <c r="F3" s="1422"/>
      <c r="G3" s="1422"/>
      <c r="H3" s="1422"/>
      <c r="I3" s="399"/>
      <c r="J3" s="399"/>
      <c r="K3" s="399"/>
      <c r="L3" s="399"/>
      <c r="N3" s="399"/>
      <c r="O3" s="399"/>
      <c r="P3" s="399"/>
      <c r="Q3" s="399"/>
      <c r="R3" s="399"/>
      <c r="S3" s="399"/>
      <c r="T3" s="399"/>
      <c r="U3" s="399"/>
      <c r="V3" s="399"/>
      <c r="W3" s="399"/>
      <c r="X3" s="399"/>
      <c r="Y3" s="399"/>
      <c r="Z3" s="399"/>
      <c r="AA3" s="399"/>
      <c r="AB3" s="399"/>
      <c r="AC3" s="399"/>
      <c r="AD3" s="399"/>
      <c r="AE3" s="399"/>
      <c r="AF3" s="399"/>
      <c r="AG3" s="399"/>
      <c r="AH3" s="399"/>
      <c r="AI3" s="399"/>
      <c r="AJ3" s="399"/>
      <c r="AK3" s="399"/>
      <c r="AL3" s="399"/>
      <c r="AM3" s="399"/>
      <c r="AN3" s="399"/>
      <c r="AO3" s="399"/>
      <c r="AP3" s="399"/>
      <c r="AQ3" s="399"/>
      <c r="AR3" s="399"/>
      <c r="AS3" s="399"/>
      <c r="AT3" s="399"/>
      <c r="AU3" s="399"/>
      <c r="AV3" s="399"/>
      <c r="AW3" s="399"/>
      <c r="AX3" s="399"/>
      <c r="AY3" s="399"/>
      <c r="AZ3" s="399"/>
      <c r="BA3" s="399"/>
      <c r="BB3" s="399"/>
      <c r="BC3" s="399"/>
      <c r="BD3" s="399"/>
      <c r="BE3" s="399"/>
      <c r="BF3" s="399"/>
      <c r="BG3" s="399"/>
      <c r="BH3" s="399"/>
      <c r="BI3" s="399"/>
      <c r="BJ3" s="399"/>
      <c r="BK3" s="399"/>
      <c r="BL3" s="399"/>
    </row>
    <row r="4" spans="1:64" ht="6" customHeight="1">
      <c r="N4" s="340"/>
    </row>
    <row r="5" spans="1:64" ht="12.75">
      <c r="B5" s="1423" t="s">
        <v>152</v>
      </c>
      <c r="C5" s="1424"/>
      <c r="D5" s="1424"/>
      <c r="E5" s="1424"/>
      <c r="F5" s="1424"/>
      <c r="G5" s="86"/>
      <c r="H5" s="86"/>
      <c r="N5" s="82"/>
    </row>
    <row r="6" spans="1:64" ht="11.1" customHeight="1">
      <c r="B6" s="374"/>
      <c r="C6" s="383"/>
      <c r="D6" s="113"/>
      <c r="E6" s="375"/>
      <c r="F6" s="375"/>
      <c r="G6" s="376"/>
      <c r="H6" s="376"/>
      <c r="I6" s="150"/>
      <c r="J6" s="150"/>
      <c r="K6" s="150"/>
      <c r="L6" s="150"/>
      <c r="M6" s="353"/>
      <c r="N6" s="82"/>
      <c r="O6" s="400"/>
      <c r="P6" s="401"/>
      <c r="Q6" s="401"/>
      <c r="R6" s="401"/>
      <c r="S6" s="401"/>
      <c r="T6" s="401"/>
      <c r="U6" s="378"/>
      <c r="W6" s="400"/>
      <c r="X6" s="401"/>
      <c r="Y6" s="401"/>
      <c r="Z6" s="401"/>
      <c r="AA6" s="401"/>
      <c r="AB6" s="401"/>
      <c r="AC6" s="378"/>
      <c r="AE6" s="400"/>
      <c r="AF6" s="401"/>
      <c r="AG6" s="401"/>
      <c r="AH6" s="401"/>
      <c r="AI6" s="401"/>
      <c r="AJ6" s="401"/>
      <c r="AK6" s="378"/>
      <c r="AM6" s="400"/>
      <c r="AN6" s="401"/>
      <c r="AO6" s="401"/>
      <c r="AP6" s="401"/>
      <c r="AQ6" s="401"/>
      <c r="AR6" s="401"/>
      <c r="AS6" s="378"/>
      <c r="AU6" s="400"/>
      <c r="AV6" s="401"/>
      <c r="AW6" s="401"/>
      <c r="AX6" s="401"/>
      <c r="AY6" s="401"/>
      <c r="AZ6" s="401"/>
      <c r="BA6" s="378"/>
      <c r="BC6" s="400"/>
      <c r="BD6" s="401"/>
      <c r="BE6" s="401"/>
      <c r="BF6" s="401"/>
      <c r="BG6" s="401"/>
      <c r="BH6" s="401"/>
      <c r="BI6" s="378"/>
    </row>
    <row r="7" spans="1:64" ht="11.1" customHeight="1">
      <c r="B7" s="374"/>
      <c r="C7" s="383"/>
      <c r="D7" s="113"/>
      <c r="E7" s="375"/>
      <c r="F7" s="375"/>
      <c r="G7" s="379" t="s">
        <v>106</v>
      </c>
      <c r="H7" s="379"/>
      <c r="I7" s="85"/>
      <c r="J7" s="85"/>
      <c r="K7" s="85"/>
      <c r="L7" s="85"/>
      <c r="M7" s="358"/>
      <c r="N7" s="82"/>
      <c r="O7" s="402" t="str">
        <f>'F0a Konfiguration'!C11</f>
        <v>AB1</v>
      </c>
      <c r="P7" s="403"/>
      <c r="Q7" s="403"/>
      <c r="R7" s="403"/>
      <c r="S7" s="403"/>
      <c r="T7" s="403"/>
      <c r="U7" s="404"/>
      <c r="W7" s="402" t="str">
        <f>'F0a Konfiguration'!C12</f>
        <v>AB2</v>
      </c>
      <c r="X7" s="403"/>
      <c r="Y7" s="403"/>
      <c r="Z7" s="403"/>
      <c r="AA7" s="403"/>
      <c r="AB7" s="403"/>
      <c r="AC7" s="404"/>
      <c r="AE7" s="402" t="str">
        <f>'F0a Konfiguration'!C13</f>
        <v>AB3</v>
      </c>
      <c r="AF7" s="403"/>
      <c r="AG7" s="403"/>
      <c r="AH7" s="403"/>
      <c r="AI7" s="403"/>
      <c r="AJ7" s="403"/>
      <c r="AK7" s="404"/>
      <c r="AM7" s="402" t="str">
        <f>'F0a Konfiguration'!C14</f>
        <v>AB4</v>
      </c>
      <c r="AN7" s="403"/>
      <c r="AO7" s="403"/>
      <c r="AP7" s="403"/>
      <c r="AQ7" s="403"/>
      <c r="AR7" s="403"/>
      <c r="AS7" s="404"/>
      <c r="AU7" s="402" t="str">
        <f>'F0a Konfiguration'!C15</f>
        <v>AB5</v>
      </c>
      <c r="AV7" s="403"/>
      <c r="AW7" s="403"/>
      <c r="AX7" s="403"/>
      <c r="AY7" s="403"/>
      <c r="AZ7" s="403"/>
      <c r="BA7" s="404"/>
      <c r="BC7" s="402" t="str">
        <f>'F0a Konfiguration'!C16</f>
        <v>AB6</v>
      </c>
      <c r="BD7" s="403"/>
      <c r="BE7" s="403"/>
      <c r="BF7" s="403"/>
      <c r="BG7" s="403"/>
      <c r="BH7" s="403"/>
      <c r="BI7" s="404"/>
    </row>
    <row r="8" spans="1:64" ht="11.1" customHeight="1">
      <c r="B8" s="374"/>
      <c r="C8" s="383"/>
      <c r="D8" s="113"/>
      <c r="E8" s="375"/>
      <c r="F8" s="375"/>
      <c r="G8" s="379" t="s">
        <v>20</v>
      </c>
      <c r="H8" s="379"/>
      <c r="I8" s="85"/>
      <c r="J8" s="85"/>
      <c r="K8" s="85"/>
      <c r="L8" s="85"/>
      <c r="M8" s="358"/>
      <c r="N8" s="82"/>
      <c r="O8" s="402" t="str">
        <f>'F0a Konfiguration'!E11</f>
        <v>Politik und Verwaltung</v>
      </c>
      <c r="P8" s="403"/>
      <c r="Q8" s="403"/>
      <c r="R8" s="403"/>
      <c r="S8" s="403"/>
      <c r="T8" s="403"/>
      <c r="U8" s="404"/>
      <c r="W8" s="402" t="str">
        <f>'F0a Konfiguration'!E12</f>
        <v>Bildung</v>
      </c>
      <c r="X8" s="403"/>
      <c r="Y8" s="403"/>
      <c r="Z8" s="403"/>
      <c r="AA8" s="403"/>
      <c r="AB8" s="403"/>
      <c r="AC8" s="404"/>
      <c r="AE8" s="402" t="str">
        <f>'F0a Konfiguration'!E13</f>
        <v>Freizeit, Jugend und Kultur</v>
      </c>
      <c r="AF8" s="403"/>
      <c r="AG8" s="403"/>
      <c r="AH8" s="403"/>
      <c r="AI8" s="403"/>
      <c r="AJ8" s="403"/>
      <c r="AK8" s="404"/>
      <c r="AM8" s="402" t="str">
        <f>'F0a Konfiguration'!E14</f>
        <v>Soziales, Gesundheit und Alter</v>
      </c>
      <c r="AN8" s="403"/>
      <c r="AO8" s="403"/>
      <c r="AP8" s="403"/>
      <c r="AQ8" s="403"/>
      <c r="AR8" s="403"/>
      <c r="AS8" s="404"/>
      <c r="AU8" s="402" t="str">
        <f>'F0a Konfiguration'!E15</f>
        <v>Infrastruktur, Sicherheit, Raumordnung und Umwelt</v>
      </c>
      <c r="AV8" s="403"/>
      <c r="AW8" s="403"/>
      <c r="AX8" s="403"/>
      <c r="AY8" s="403"/>
      <c r="AZ8" s="403"/>
      <c r="BA8" s="404"/>
      <c r="BC8" s="402" t="str">
        <f>'F0a Konfiguration'!E16</f>
        <v>Finanzen, Steuern und Abgaben</v>
      </c>
      <c r="BD8" s="403"/>
      <c r="BE8" s="403"/>
      <c r="BF8" s="403"/>
      <c r="BG8" s="403"/>
      <c r="BH8" s="403"/>
      <c r="BI8" s="404"/>
    </row>
    <row r="9" spans="1:64" ht="11.1" customHeight="1">
      <c r="B9" s="374"/>
      <c r="C9" s="383"/>
      <c r="D9" s="113"/>
      <c r="E9" s="375"/>
      <c r="F9" s="375"/>
      <c r="G9" s="379"/>
      <c r="H9" s="379"/>
      <c r="I9" s="405"/>
      <c r="J9" s="405"/>
      <c r="K9" s="405"/>
      <c r="L9" s="405"/>
      <c r="M9" s="382"/>
      <c r="N9" s="82"/>
      <c r="O9" s="406"/>
      <c r="P9" s="405"/>
      <c r="Q9" s="405"/>
      <c r="R9" s="405"/>
      <c r="S9" s="405"/>
      <c r="T9" s="405"/>
      <c r="U9" s="382"/>
      <c r="W9" s="406"/>
      <c r="X9" s="405"/>
      <c r="Y9" s="405"/>
      <c r="Z9" s="405"/>
      <c r="AA9" s="405"/>
      <c r="AB9" s="405"/>
      <c r="AC9" s="382"/>
      <c r="AE9" s="406"/>
      <c r="AF9" s="405"/>
      <c r="AG9" s="405"/>
      <c r="AH9" s="405"/>
      <c r="AI9" s="405"/>
      <c r="AJ9" s="405"/>
      <c r="AK9" s="382"/>
      <c r="AM9" s="406"/>
      <c r="AN9" s="405"/>
      <c r="AO9" s="405"/>
      <c r="AP9" s="405"/>
      <c r="AQ9" s="405"/>
      <c r="AR9" s="405"/>
      <c r="AS9" s="382"/>
      <c r="AU9" s="406"/>
      <c r="AV9" s="405"/>
      <c r="AW9" s="405"/>
      <c r="AX9" s="405"/>
      <c r="AY9" s="405"/>
      <c r="AZ9" s="405"/>
      <c r="BA9" s="382"/>
      <c r="BC9" s="406"/>
      <c r="BD9" s="405"/>
      <c r="BE9" s="405"/>
      <c r="BF9" s="405"/>
      <c r="BG9" s="405"/>
      <c r="BH9" s="405"/>
      <c r="BI9" s="382"/>
    </row>
    <row r="10" spans="1:64" ht="11.1" customHeight="1">
      <c r="B10" s="374"/>
      <c r="C10" s="383"/>
      <c r="D10" s="113"/>
      <c r="E10" s="375"/>
      <c r="F10" s="375"/>
      <c r="G10" s="407" t="str">
        <f>IF('F0b Planungsparameter'!$G$10="Ja","Budget","Rechng")</f>
        <v>Budget</v>
      </c>
      <c r="H10" s="740" t="s">
        <v>32</v>
      </c>
      <c r="I10" s="864" t="s">
        <v>26</v>
      </c>
      <c r="J10" s="408"/>
      <c r="K10" s="408"/>
      <c r="L10" s="408"/>
      <c r="M10" s="409"/>
      <c r="N10" s="379"/>
      <c r="O10" s="1273" t="str">
        <f>IF('F0b Planungsparameter'!$G$10="Ja","Budget","Rechng")</f>
        <v>Budget</v>
      </c>
      <c r="P10" s="1274" t="s">
        <v>32</v>
      </c>
      <c r="Q10" s="1275" t="s">
        <v>26</v>
      </c>
      <c r="R10" s="1276"/>
      <c r="S10" s="1276"/>
      <c r="T10" s="1276"/>
      <c r="U10" s="1277"/>
      <c r="W10" s="1273" t="str">
        <f>IF('F0b Planungsparameter'!$G$10="Ja","Budget","Rechng")</f>
        <v>Budget</v>
      </c>
      <c r="X10" s="1274" t="s">
        <v>32</v>
      </c>
      <c r="Y10" s="1275" t="s">
        <v>26</v>
      </c>
      <c r="Z10" s="1276"/>
      <c r="AA10" s="1276"/>
      <c r="AB10" s="1276"/>
      <c r="AC10" s="1277"/>
      <c r="AE10" s="1273" t="str">
        <f>IF('F0b Planungsparameter'!$G$10="Ja","Budget","Rechng")</f>
        <v>Budget</v>
      </c>
      <c r="AF10" s="1274" t="s">
        <v>32</v>
      </c>
      <c r="AG10" s="1275" t="s">
        <v>26</v>
      </c>
      <c r="AH10" s="1276"/>
      <c r="AI10" s="1276"/>
      <c r="AJ10" s="1276"/>
      <c r="AK10" s="1277"/>
      <c r="AM10" s="1273" t="str">
        <f>IF('F0b Planungsparameter'!$G$10="Ja","Budget","Rechng")</f>
        <v>Budget</v>
      </c>
      <c r="AN10" s="1274" t="s">
        <v>32</v>
      </c>
      <c r="AO10" s="1275" t="s">
        <v>26</v>
      </c>
      <c r="AP10" s="1276"/>
      <c r="AQ10" s="1276"/>
      <c r="AR10" s="1276"/>
      <c r="AS10" s="1277"/>
      <c r="AU10" s="1273" t="str">
        <f>IF('F0b Planungsparameter'!$G$10="Ja","Budget","Rechng")</f>
        <v>Budget</v>
      </c>
      <c r="AV10" s="1274" t="s">
        <v>32</v>
      </c>
      <c r="AW10" s="1275" t="s">
        <v>26</v>
      </c>
      <c r="AX10" s="1276"/>
      <c r="AY10" s="1276"/>
      <c r="AZ10" s="1276"/>
      <c r="BA10" s="1277"/>
      <c r="BC10" s="1273" t="str">
        <f>IF('F0b Planungsparameter'!$G$10="Ja","Budget","Rechng")</f>
        <v>Budget</v>
      </c>
      <c r="BD10" s="1274" t="s">
        <v>32</v>
      </c>
      <c r="BE10" s="1275" t="s">
        <v>26</v>
      </c>
      <c r="BF10" s="1276"/>
      <c r="BG10" s="1276"/>
      <c r="BH10" s="1276"/>
      <c r="BI10" s="1277"/>
    </row>
    <row r="11" spans="1:64" ht="11.1" customHeight="1">
      <c r="B11" s="374"/>
      <c r="C11" s="383"/>
      <c r="D11" s="113"/>
      <c r="E11" s="375"/>
      <c r="F11" s="375"/>
      <c r="G11" s="410">
        <f>Budget1</f>
        <v>2021</v>
      </c>
      <c r="H11" s="410">
        <f>Budget2</f>
        <v>2022</v>
      </c>
      <c r="I11" s="486">
        <f>Finz1</f>
        <v>2023</v>
      </c>
      <c r="J11" s="413">
        <f>Finz1+1</f>
        <v>2024</v>
      </c>
      <c r="K11" s="413">
        <f>Finz1+2</f>
        <v>2025</v>
      </c>
      <c r="L11" s="413">
        <f>Finz1+3</f>
        <v>2026</v>
      </c>
      <c r="M11" s="414">
        <f>Finz1+4</f>
        <v>2027</v>
      </c>
      <c r="N11" s="379"/>
      <c r="O11" s="410">
        <f>Budget1</f>
        <v>2021</v>
      </c>
      <c r="P11" s="410">
        <f>Budget2</f>
        <v>2022</v>
      </c>
      <c r="Q11" s="486">
        <f>Finz1</f>
        <v>2023</v>
      </c>
      <c r="R11" s="413">
        <f>Finz1+1</f>
        <v>2024</v>
      </c>
      <c r="S11" s="413">
        <f>Finz1+2</f>
        <v>2025</v>
      </c>
      <c r="T11" s="413">
        <f>Finz1+3</f>
        <v>2026</v>
      </c>
      <c r="U11" s="414">
        <f>Finz1+4</f>
        <v>2027</v>
      </c>
      <c r="W11" s="410">
        <f>Budget1</f>
        <v>2021</v>
      </c>
      <c r="X11" s="410">
        <f>Budget2</f>
        <v>2022</v>
      </c>
      <c r="Y11" s="486">
        <f>Finz1</f>
        <v>2023</v>
      </c>
      <c r="Z11" s="413">
        <f>Finz1+1</f>
        <v>2024</v>
      </c>
      <c r="AA11" s="413">
        <f>Finz1+2</f>
        <v>2025</v>
      </c>
      <c r="AB11" s="413">
        <f>Finz1+3</f>
        <v>2026</v>
      </c>
      <c r="AC11" s="414">
        <f>Finz1+4</f>
        <v>2027</v>
      </c>
      <c r="AE11" s="410">
        <f>Budget1</f>
        <v>2021</v>
      </c>
      <c r="AF11" s="410">
        <f>Budget2</f>
        <v>2022</v>
      </c>
      <c r="AG11" s="486">
        <f>Finz1</f>
        <v>2023</v>
      </c>
      <c r="AH11" s="413">
        <f>Finz1+1</f>
        <v>2024</v>
      </c>
      <c r="AI11" s="413">
        <f>Finz1+2</f>
        <v>2025</v>
      </c>
      <c r="AJ11" s="413">
        <f>Finz1+3</f>
        <v>2026</v>
      </c>
      <c r="AK11" s="414">
        <f>Finz1+4</f>
        <v>2027</v>
      </c>
      <c r="AM11" s="410">
        <f>Budget1</f>
        <v>2021</v>
      </c>
      <c r="AN11" s="410">
        <f>Budget2</f>
        <v>2022</v>
      </c>
      <c r="AO11" s="486">
        <f>Finz1</f>
        <v>2023</v>
      </c>
      <c r="AP11" s="413">
        <f>Finz1+1</f>
        <v>2024</v>
      </c>
      <c r="AQ11" s="413">
        <f>Finz1+2</f>
        <v>2025</v>
      </c>
      <c r="AR11" s="413">
        <f>Finz1+3</f>
        <v>2026</v>
      </c>
      <c r="AS11" s="414">
        <f>Finz1+4</f>
        <v>2027</v>
      </c>
      <c r="AU11" s="410">
        <f>Budget1</f>
        <v>2021</v>
      </c>
      <c r="AV11" s="410">
        <f>Budget2</f>
        <v>2022</v>
      </c>
      <c r="AW11" s="486">
        <f>Finz1</f>
        <v>2023</v>
      </c>
      <c r="AX11" s="413">
        <f>Finz1+1</f>
        <v>2024</v>
      </c>
      <c r="AY11" s="413">
        <f>Finz1+2</f>
        <v>2025</v>
      </c>
      <c r="AZ11" s="413">
        <f>Finz1+3</f>
        <v>2026</v>
      </c>
      <c r="BA11" s="414">
        <f>Finz1+4</f>
        <v>2027</v>
      </c>
      <c r="BC11" s="410">
        <f>Budget1</f>
        <v>2021</v>
      </c>
      <c r="BD11" s="410">
        <f>Budget2</f>
        <v>2022</v>
      </c>
      <c r="BE11" s="486">
        <f>Finz1</f>
        <v>2023</v>
      </c>
      <c r="BF11" s="413">
        <f>Finz1+1</f>
        <v>2024</v>
      </c>
      <c r="BG11" s="413">
        <f>Finz1+2</f>
        <v>2025</v>
      </c>
      <c r="BH11" s="413">
        <f>Finz1+3</f>
        <v>2026</v>
      </c>
      <c r="BI11" s="414">
        <f>Finz1+4</f>
        <v>2027</v>
      </c>
    </row>
    <row r="12" spans="1:64" ht="11.1" customHeight="1">
      <c r="B12" s="374"/>
      <c r="C12" s="383"/>
      <c r="D12" s="113"/>
      <c r="E12" s="375"/>
      <c r="F12" s="375"/>
      <c r="G12" s="693"/>
      <c r="H12" s="693"/>
      <c r="I12" s="703"/>
      <c r="J12" s="703"/>
      <c r="K12" s="703"/>
      <c r="L12" s="703"/>
      <c r="M12" s="703"/>
      <c r="N12" s="379"/>
      <c r="O12" s="375"/>
      <c r="P12" s="375"/>
      <c r="Q12" s="375"/>
      <c r="R12" s="375"/>
      <c r="S12" s="375"/>
      <c r="T12" s="375"/>
      <c r="U12" s="375"/>
      <c r="W12" s="375"/>
      <c r="X12" s="375"/>
      <c r="Y12" s="375"/>
      <c r="Z12" s="375"/>
      <c r="AA12" s="375"/>
      <c r="AB12" s="375"/>
      <c r="AC12" s="375"/>
      <c r="AE12" s="375"/>
      <c r="AF12" s="375"/>
      <c r="AG12" s="375"/>
      <c r="AH12" s="375"/>
      <c r="AI12" s="375"/>
      <c r="AJ12" s="375"/>
      <c r="AK12" s="375"/>
      <c r="AM12" s="375"/>
      <c r="AN12" s="375"/>
      <c r="AO12" s="375"/>
      <c r="AP12" s="375"/>
      <c r="AQ12" s="375"/>
      <c r="AR12" s="375"/>
      <c r="AS12" s="375"/>
      <c r="AU12" s="375"/>
      <c r="AV12" s="375"/>
      <c r="AW12" s="375"/>
      <c r="AX12" s="375"/>
      <c r="AY12" s="375"/>
      <c r="AZ12" s="375"/>
      <c r="BA12" s="375"/>
      <c r="BC12" s="375"/>
      <c r="BD12" s="375"/>
      <c r="BE12" s="375"/>
      <c r="BF12" s="375"/>
      <c r="BG12" s="375"/>
      <c r="BH12" s="375"/>
      <c r="BI12" s="375"/>
    </row>
    <row r="13" spans="1:64" ht="11.1" customHeight="1">
      <c r="B13" s="374">
        <v>3</v>
      </c>
      <c r="C13" s="383"/>
      <c r="D13" s="1406" t="s">
        <v>23</v>
      </c>
      <c r="E13" s="1407"/>
      <c r="F13" s="1408"/>
      <c r="G13" s="386">
        <f t="shared" ref="G13:M13" si="0">SUM(G15:G18)+G22+G27+SUM(G30:G32)</f>
        <v>23944</v>
      </c>
      <c r="H13" s="384">
        <f t="shared" si="0"/>
        <v>24742</v>
      </c>
      <c r="I13" s="433">
        <f t="shared" si="0"/>
        <v>23517.654999999999</v>
      </c>
      <c r="J13" s="386">
        <f>SUM(J15:J18)+J27+SUM(J30:J32)</f>
        <v>23601.813699999995</v>
      </c>
      <c r="K13" s="386">
        <f t="shared" si="0"/>
        <v>23719.472768499996</v>
      </c>
      <c r="L13" s="386">
        <f t="shared" si="0"/>
        <v>23804.475159467489</v>
      </c>
      <c r="M13" s="384">
        <f t="shared" si="0"/>
        <v>23868.147535264823</v>
      </c>
      <c r="N13" s="602" t="str">
        <f>IF(SUM(G13:M13)=SUM(O13:YS13),"",SUM(O13:YS13)-SUM(G13:M13))</f>
        <v/>
      </c>
      <c r="O13" s="386">
        <f t="shared" ref="O13:U13" si="1">SUM(O15:O18)+O22+O27+SUM(O30:O32)</f>
        <v>1486</v>
      </c>
      <c r="P13" s="384">
        <f t="shared" si="1"/>
        <v>1528</v>
      </c>
      <c r="Q13" s="433">
        <f t="shared" si="1"/>
        <v>1421.07</v>
      </c>
      <c r="R13" s="386">
        <f t="shared" si="1"/>
        <v>1425.4166249999998</v>
      </c>
      <c r="S13" s="386">
        <f t="shared" si="1"/>
        <v>1432.5437081249995</v>
      </c>
      <c r="T13" s="386">
        <f t="shared" si="1"/>
        <v>1436.9339080406246</v>
      </c>
      <c r="U13" s="384">
        <f t="shared" si="1"/>
        <v>1444.1185775808276</v>
      </c>
      <c r="V13" s="379"/>
      <c r="W13" s="386">
        <f t="shared" ref="W13:AC13" si="2">SUM(W15:W18)+W22+W27+SUM(W30:W32)</f>
        <v>8220</v>
      </c>
      <c r="X13" s="384">
        <f t="shared" si="2"/>
        <v>8759</v>
      </c>
      <c r="Y13" s="433">
        <f t="shared" si="2"/>
        <v>8346.5249999999978</v>
      </c>
      <c r="Z13" s="386">
        <f t="shared" si="2"/>
        <v>8374.4237999999987</v>
      </c>
      <c r="AA13" s="386">
        <f t="shared" si="2"/>
        <v>8416.2959189999983</v>
      </c>
      <c r="AB13" s="386">
        <f t="shared" si="2"/>
        <v>8444.4744044699983</v>
      </c>
      <c r="AC13" s="384">
        <f t="shared" si="2"/>
        <v>8486.6967764923465</v>
      </c>
      <c r="AD13" s="379"/>
      <c r="AE13" s="386">
        <f t="shared" ref="AE13:AK13" si="3">SUM(AE15:AE18)+AE22+AE27+SUM(AE30:AE32)</f>
        <v>498</v>
      </c>
      <c r="AF13" s="384">
        <f t="shared" si="3"/>
        <v>583</v>
      </c>
      <c r="AG13" s="433">
        <f t="shared" si="3"/>
        <v>535.66499999999996</v>
      </c>
      <c r="AH13" s="386">
        <f t="shared" si="3"/>
        <v>536.35844999999995</v>
      </c>
      <c r="AI13" s="386">
        <f t="shared" si="3"/>
        <v>539.04024224999989</v>
      </c>
      <c r="AJ13" s="386">
        <f t="shared" si="3"/>
        <v>539.74064408624986</v>
      </c>
      <c r="AK13" s="384">
        <f t="shared" si="3"/>
        <v>542.43934730668104</v>
      </c>
      <c r="AL13" s="379"/>
      <c r="AM13" s="386">
        <f t="shared" ref="AM13:AS13" si="4">SUM(AM15:AM18)+AM22+AM27+SUM(AM30:AM32)</f>
        <v>10224</v>
      </c>
      <c r="AN13" s="384">
        <f t="shared" si="4"/>
        <v>10317</v>
      </c>
      <c r="AO13" s="433">
        <f t="shared" si="4"/>
        <v>10037.94</v>
      </c>
      <c r="AP13" s="386">
        <f t="shared" si="4"/>
        <v>10083.084599999998</v>
      </c>
      <c r="AQ13" s="386">
        <f t="shared" si="4"/>
        <v>10133.500022999997</v>
      </c>
      <c r="AR13" s="386">
        <f t="shared" si="4"/>
        <v>10179.097197614996</v>
      </c>
      <c r="AS13" s="384">
        <f t="shared" si="4"/>
        <v>10229.99268360307</v>
      </c>
      <c r="AT13" s="379"/>
      <c r="AU13" s="386">
        <f t="shared" ref="AU13:BA13" si="5">SUM(AU15:AU18)+AU22+AU27+SUM(AU30:AU32)</f>
        <v>3229</v>
      </c>
      <c r="AV13" s="384">
        <f t="shared" si="5"/>
        <v>3286</v>
      </c>
      <c r="AW13" s="433">
        <f t="shared" si="5"/>
        <v>2907.4649999999997</v>
      </c>
      <c r="AX13" s="386">
        <f t="shared" si="5"/>
        <v>2913.4799249999996</v>
      </c>
      <c r="AY13" s="386">
        <f t="shared" si="5"/>
        <v>2928.0473246249994</v>
      </c>
      <c r="AZ13" s="386">
        <f t="shared" si="5"/>
        <v>2934.1225492481244</v>
      </c>
      <c r="BA13" s="384">
        <f t="shared" si="5"/>
        <v>2948.7931619943643</v>
      </c>
      <c r="BB13" s="379"/>
      <c r="BC13" s="386">
        <f t="shared" ref="BC13:BI13" si="6">SUM(BC15:BC18)+BC22+BC27+SUM(BC30:BC32)</f>
        <v>287</v>
      </c>
      <c r="BD13" s="384">
        <f t="shared" si="6"/>
        <v>269</v>
      </c>
      <c r="BE13" s="433">
        <f t="shared" si="6"/>
        <v>268.99</v>
      </c>
      <c r="BF13" s="386">
        <f t="shared" si="6"/>
        <v>269.05029999999999</v>
      </c>
      <c r="BG13" s="386">
        <f t="shared" si="6"/>
        <v>270.04555149999993</v>
      </c>
      <c r="BH13" s="386">
        <f t="shared" si="6"/>
        <v>270.10645600749996</v>
      </c>
      <c r="BI13" s="384">
        <f t="shared" si="6"/>
        <v>216.10698828753743</v>
      </c>
      <c r="BJ13" s="379"/>
      <c r="BK13" s="379"/>
      <c r="BL13" s="379"/>
    </row>
    <row r="14" spans="1:64" ht="6" customHeight="1">
      <c r="B14" s="387"/>
      <c r="C14" s="428"/>
      <c r="D14" s="388"/>
      <c r="E14" s="85"/>
      <c r="F14" s="85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W14" s="379"/>
      <c r="X14" s="379"/>
      <c r="Y14" s="379"/>
      <c r="Z14" s="379"/>
      <c r="AA14" s="379"/>
      <c r="AB14" s="379"/>
      <c r="AC14" s="379"/>
      <c r="AE14" s="379"/>
      <c r="AF14" s="379"/>
      <c r="AG14" s="379"/>
      <c r="AH14" s="379"/>
      <c r="AI14" s="379"/>
      <c r="AJ14" s="379"/>
      <c r="AK14" s="379"/>
      <c r="AM14" s="379"/>
      <c r="AN14" s="379"/>
      <c r="AO14" s="379"/>
      <c r="AP14" s="379"/>
      <c r="AQ14" s="379"/>
      <c r="AR14" s="379"/>
      <c r="AS14" s="379"/>
      <c r="AU14" s="379"/>
      <c r="AV14" s="379"/>
      <c r="AW14" s="379"/>
      <c r="AX14" s="379"/>
      <c r="AY14" s="379"/>
      <c r="AZ14" s="379"/>
      <c r="BA14" s="379"/>
      <c r="BC14" s="379"/>
      <c r="BD14" s="379"/>
      <c r="BE14" s="379"/>
      <c r="BF14" s="379"/>
      <c r="BG14" s="379"/>
      <c r="BH14" s="379"/>
      <c r="BI14" s="379"/>
    </row>
    <row r="15" spans="1:64" ht="11.1" customHeight="1">
      <c r="B15" s="374">
        <v>30</v>
      </c>
      <c r="C15" s="383"/>
      <c r="D15" s="1412" t="s">
        <v>29</v>
      </c>
      <c r="E15" s="1412"/>
      <c r="F15" s="1413"/>
      <c r="G15" s="416">
        <f>'F1b Budget Aktuell'!$G12</f>
        <v>10566</v>
      </c>
      <c r="H15" s="419">
        <f>'F1c Budget Neu'!$G12</f>
        <v>10815</v>
      </c>
      <c r="I15" s="865">
        <f>H15*(1+'F0b Planungsparameter'!$I$21)</f>
        <v>10869.074999999999</v>
      </c>
      <c r="J15" s="419">
        <f>I15*(1+'F0b Planungsparameter'!$J$21)</f>
        <v>10923.420374999998</v>
      </c>
      <c r="K15" s="419">
        <f>J15*(1+'F0b Planungsparameter'!$K$21)</f>
        <v>10978.037476874997</v>
      </c>
      <c r="L15" s="419">
        <f>K15*(1+'F0b Planungsparameter'!$L$21)</f>
        <v>11032.92766425937</v>
      </c>
      <c r="M15" s="419">
        <f>L15*(1+'F0b Planungsparameter'!$M$21)</f>
        <v>11088.092302580666</v>
      </c>
      <c r="N15" s="602" t="str">
        <f t="shared" ref="N15:N33" si="7">IF(SUM(G15:M15)=SUM(O15:YS15),"",SUM(O15:YS15)-SUM(G15:M15))</f>
        <v/>
      </c>
      <c r="O15" s="416">
        <f>'F1b Budget Aktuell'!$I12</f>
        <v>789</v>
      </c>
      <c r="P15" s="419">
        <f>'F1c Budget Neu'!$I12</f>
        <v>783</v>
      </c>
      <c r="Q15" s="865">
        <f>P15*(1+'F0b Planungsparameter'!$I$21)</f>
        <v>786.91499999999996</v>
      </c>
      <c r="R15" s="419">
        <f>Q15*(1+'F0b Planungsparameter'!$J$21)</f>
        <v>790.84957499999985</v>
      </c>
      <c r="S15" s="419">
        <f>R15*(1+'F0b Planungsparameter'!$K$21)</f>
        <v>794.80382287499981</v>
      </c>
      <c r="T15" s="419">
        <f>S15*(1+'F0b Planungsparameter'!$L$21)</f>
        <v>798.77784198937468</v>
      </c>
      <c r="U15" s="419">
        <f>T15*(1+'F0b Planungsparameter'!$M$21)</f>
        <v>802.77173119932149</v>
      </c>
      <c r="W15" s="416">
        <f>'F1b Budget Aktuell'!$J12</f>
        <v>4366</v>
      </c>
      <c r="X15" s="419">
        <f>'F1c Budget Neu'!$J12</f>
        <v>4590</v>
      </c>
      <c r="Y15" s="865">
        <f>X15*(1+'F0b Planungsparameter'!$I$21)</f>
        <v>4612.95</v>
      </c>
      <c r="Z15" s="419">
        <f>Y15*(1+'F0b Planungsparameter'!$J$21)</f>
        <v>4636.0147499999994</v>
      </c>
      <c r="AA15" s="419">
        <f>Z15*(1+'F0b Planungsparameter'!$K$21)</f>
        <v>4659.1948237499992</v>
      </c>
      <c r="AB15" s="419">
        <f>AA15*(1+'F0b Planungsparameter'!$L$21)</f>
        <v>4682.4907978687488</v>
      </c>
      <c r="AC15" s="419">
        <f>AB15*(1+'F0b Planungsparameter'!$M$21)</f>
        <v>4705.9032518580916</v>
      </c>
      <c r="AE15" s="416">
        <f>'F1b Budget Aktuell'!$K12</f>
        <v>94</v>
      </c>
      <c r="AF15" s="419">
        <f>'F1c Budget Neu'!$K12</f>
        <v>92</v>
      </c>
      <c r="AG15" s="865">
        <f>AF15*(1+'F0b Planungsparameter'!$I$21)</f>
        <v>92.46</v>
      </c>
      <c r="AH15" s="419">
        <f>AG15*(1+'F0b Planungsparameter'!$J$21)</f>
        <v>92.922299999999979</v>
      </c>
      <c r="AI15" s="419">
        <f>AH15*(1+'F0b Planungsparameter'!$K$21)</f>
        <v>93.386911499999968</v>
      </c>
      <c r="AJ15" s="419">
        <f>AI15*(1+'F0b Planungsparameter'!$L$21)</f>
        <v>93.853846057499965</v>
      </c>
      <c r="AK15" s="419">
        <f>AJ15*(1+'F0b Planungsparameter'!$M$21)</f>
        <v>94.323115287787459</v>
      </c>
      <c r="AM15" s="416">
        <f>'F1b Budget Aktuell'!$L12</f>
        <v>4728</v>
      </c>
      <c r="AN15" s="419">
        <f>'F1c Budget Neu'!$L12</f>
        <v>4759</v>
      </c>
      <c r="AO15" s="865">
        <f>AN15*(1+'F0b Planungsparameter'!$I$21)</f>
        <v>4782.7949999999992</v>
      </c>
      <c r="AP15" s="419">
        <f>AO15*(1+'F0b Planungsparameter'!$J$21)</f>
        <v>4806.7089749999986</v>
      </c>
      <c r="AQ15" s="419">
        <f>AP15*(1+'F0b Planungsparameter'!$K$21)</f>
        <v>4830.7425198749979</v>
      </c>
      <c r="AR15" s="419">
        <f>AQ15*(1+'F0b Planungsparameter'!$L$21)</f>
        <v>4854.8962324743725</v>
      </c>
      <c r="AS15" s="419">
        <f>AR15*(1+'F0b Planungsparameter'!$M$21)</f>
        <v>4879.170713636744</v>
      </c>
      <c r="AU15" s="416">
        <f>'F1b Budget Aktuell'!$M12</f>
        <v>576</v>
      </c>
      <c r="AV15" s="419">
        <f>'F1c Budget Neu'!$M12</f>
        <v>579</v>
      </c>
      <c r="AW15" s="865">
        <f>AV15*(1+'F0b Planungsparameter'!$I$21)</f>
        <v>581.89499999999998</v>
      </c>
      <c r="AX15" s="419">
        <f>AW15*(1+'F0b Planungsparameter'!$J$21)</f>
        <v>584.80447499999991</v>
      </c>
      <c r="AY15" s="419">
        <f>AX15*(1+'F0b Planungsparameter'!$K$21)</f>
        <v>587.72849737499985</v>
      </c>
      <c r="AZ15" s="419">
        <f>AY15*(1+'F0b Planungsparameter'!$L$21)</f>
        <v>590.66713986187483</v>
      </c>
      <c r="BA15" s="419">
        <f>AZ15*(1+'F0b Planungsparameter'!$M$21)</f>
        <v>593.62047556118409</v>
      </c>
      <c r="BC15" s="416">
        <f>'F1b Budget Aktuell'!$N12</f>
        <v>13</v>
      </c>
      <c r="BD15" s="419">
        <f>'F1c Budget Neu'!$N12</f>
        <v>12</v>
      </c>
      <c r="BE15" s="865">
        <f>BD15*(1+'F0b Planungsparameter'!$I$21)</f>
        <v>12.059999999999999</v>
      </c>
      <c r="BF15" s="419">
        <f>BE15*(1+'F0b Planungsparameter'!$J$21)</f>
        <v>12.120299999999997</v>
      </c>
      <c r="BG15" s="419">
        <f>BF15*(1+'F0b Planungsparameter'!$K$21)</f>
        <v>12.180901499999996</v>
      </c>
      <c r="BH15" s="419">
        <f>BG15*(1+'F0b Planungsparameter'!$L$21)</f>
        <v>12.241806007499994</v>
      </c>
      <c r="BI15" s="419">
        <f>BH15*(1+'F0b Planungsparameter'!$M$21)</f>
        <v>12.303015037537493</v>
      </c>
    </row>
    <row r="16" spans="1:64" ht="11.1" customHeight="1">
      <c r="B16" s="374">
        <v>31</v>
      </c>
      <c r="C16" s="383"/>
      <c r="D16" s="1412" t="s">
        <v>85</v>
      </c>
      <c r="E16" s="1412"/>
      <c r="F16" s="1413"/>
      <c r="G16" s="420">
        <f>'F1b Budget Aktuell'!$G13</f>
        <v>3443</v>
      </c>
      <c r="H16" s="423">
        <f>'F1c Budget Neu'!$G13</f>
        <v>3557</v>
      </c>
      <c r="I16" s="422">
        <f>H16*(1+'F0b Planungsparameter'!$I$22)</f>
        <v>3574.7849999999994</v>
      </c>
      <c r="J16" s="420">
        <f>I16*(1+'F0b Planungsparameter'!$J$22)</f>
        <v>3574.7849999999994</v>
      </c>
      <c r="K16" s="420">
        <f>J16*(1+'F0b Planungsparameter'!$K$22)</f>
        <v>3592.6589249999988</v>
      </c>
      <c r="L16" s="420">
        <f>K16*(1+'F0b Planungsparameter'!$L$22)</f>
        <v>3592.6589249999988</v>
      </c>
      <c r="M16" s="423">
        <f>L16*(1+'F0b Planungsparameter'!$M$22)</f>
        <v>3610.6222196249983</v>
      </c>
      <c r="N16" s="602" t="str">
        <f t="shared" si="7"/>
        <v/>
      </c>
      <c r="O16" s="420">
        <f>'F1b Budget Aktuell'!$I13</f>
        <v>244</v>
      </c>
      <c r="P16" s="423">
        <f>'F1c Budget Neu'!$I13</f>
        <v>251</v>
      </c>
      <c r="Q16" s="422">
        <f>P16*(1+'F0b Planungsparameter'!$I$22)</f>
        <v>252.25499999999997</v>
      </c>
      <c r="R16" s="420">
        <f>Q16*(1+'F0b Planungsparameter'!$J$22)</f>
        <v>252.25499999999997</v>
      </c>
      <c r="S16" s="420">
        <f>R16*(1+'F0b Planungsparameter'!$K$22)</f>
        <v>253.51627499999995</v>
      </c>
      <c r="T16" s="420">
        <f>S16*(1+'F0b Planungsparameter'!$L$22)</f>
        <v>253.51627499999995</v>
      </c>
      <c r="U16" s="423">
        <f>T16*(1+'F0b Planungsparameter'!$M$22)</f>
        <v>254.78385637499991</v>
      </c>
      <c r="W16" s="420">
        <f>'F1b Budget Aktuell'!$J13</f>
        <v>688</v>
      </c>
      <c r="X16" s="423">
        <f>'F1c Budget Neu'!$J13</f>
        <v>847</v>
      </c>
      <c r="Y16" s="422">
        <f>X16*(1+'F0b Planungsparameter'!$I$22)</f>
        <v>851.2349999999999</v>
      </c>
      <c r="Z16" s="420">
        <f>Y16*(1+'F0b Planungsparameter'!$J$22)</f>
        <v>851.2349999999999</v>
      </c>
      <c r="AA16" s="420">
        <f>Z16*(1+'F0b Planungsparameter'!$K$22)</f>
        <v>855.49117499999977</v>
      </c>
      <c r="AB16" s="420">
        <f>AA16*(1+'F0b Planungsparameter'!$L$22)</f>
        <v>855.49117499999977</v>
      </c>
      <c r="AC16" s="423">
        <f>AB16*(1+'F0b Planungsparameter'!$M$22)</f>
        <v>859.76863087499964</v>
      </c>
      <c r="AE16" s="420">
        <f>'F1b Budget Aktuell'!$K13</f>
        <v>82</v>
      </c>
      <c r="AF16" s="423">
        <f>'F1c Budget Neu'!$K13</f>
        <v>80</v>
      </c>
      <c r="AG16" s="422">
        <f>AF16*(1+'F0b Planungsparameter'!$I$22)</f>
        <v>80.399999999999991</v>
      </c>
      <c r="AH16" s="420">
        <f>AG16*(1+'F0b Planungsparameter'!$J$22)</f>
        <v>80.399999999999991</v>
      </c>
      <c r="AI16" s="420">
        <f>AH16*(1+'F0b Planungsparameter'!$K$22)</f>
        <v>80.801999999999978</v>
      </c>
      <c r="AJ16" s="420">
        <f>AI16*(1+'F0b Planungsparameter'!$L$22)</f>
        <v>80.801999999999978</v>
      </c>
      <c r="AK16" s="423">
        <f>AJ16*(1+'F0b Planungsparameter'!$M$22)</f>
        <v>81.206009999999964</v>
      </c>
      <c r="AM16" s="420">
        <f>'F1b Budget Aktuell'!$L13</f>
        <v>937</v>
      </c>
      <c r="AN16" s="423">
        <f>'F1c Budget Neu'!$L13</f>
        <v>930</v>
      </c>
      <c r="AO16" s="422">
        <f>AN16*(1+'F0b Planungsparameter'!$I$22)</f>
        <v>934.64999999999986</v>
      </c>
      <c r="AP16" s="420">
        <f>AO16*(1+'F0b Planungsparameter'!$J$22)</f>
        <v>934.64999999999986</v>
      </c>
      <c r="AQ16" s="420">
        <f>AP16*(1+'F0b Planungsparameter'!$K$22)</f>
        <v>939.3232499999998</v>
      </c>
      <c r="AR16" s="420">
        <f>AQ16*(1+'F0b Planungsparameter'!$L$22)</f>
        <v>939.3232499999998</v>
      </c>
      <c r="AS16" s="423">
        <f>AR16*(1+'F0b Planungsparameter'!$M$22)</f>
        <v>944.01986624999972</v>
      </c>
      <c r="AU16" s="420">
        <f>'F1b Budget Aktuell'!$M13</f>
        <v>1394</v>
      </c>
      <c r="AV16" s="423">
        <f>'F1c Budget Neu'!$M13</f>
        <v>1375</v>
      </c>
      <c r="AW16" s="422">
        <f>AV16*(1+'F0b Planungsparameter'!$I$22)</f>
        <v>1381.8749999999998</v>
      </c>
      <c r="AX16" s="420">
        <f>AW16*(1+'F0b Planungsparameter'!$J$22)</f>
        <v>1381.8749999999998</v>
      </c>
      <c r="AY16" s="420">
        <f>AX16*(1+'F0b Planungsparameter'!$K$22)</f>
        <v>1388.7843749999997</v>
      </c>
      <c r="AZ16" s="420">
        <f>AY16*(1+'F0b Planungsparameter'!$L$22)</f>
        <v>1388.7843749999997</v>
      </c>
      <c r="BA16" s="423">
        <f>AZ16*(1+'F0b Planungsparameter'!$M$22)</f>
        <v>1395.7282968749996</v>
      </c>
      <c r="BC16" s="420">
        <f>'F1b Budget Aktuell'!$N13</f>
        <v>98</v>
      </c>
      <c r="BD16" s="423">
        <f>'F1c Budget Neu'!$N13</f>
        <v>74</v>
      </c>
      <c r="BE16" s="422">
        <f>BD16*(1+'F0b Planungsparameter'!$I$22)</f>
        <v>74.36999999999999</v>
      </c>
      <c r="BF16" s="420">
        <f>BE16*(1+'F0b Planungsparameter'!$J$22)</f>
        <v>74.36999999999999</v>
      </c>
      <c r="BG16" s="420">
        <f>BF16*(1+'F0b Planungsparameter'!$K$22)</f>
        <v>74.741849999999985</v>
      </c>
      <c r="BH16" s="420">
        <f>BG16*(1+'F0b Planungsparameter'!$L$22)</f>
        <v>74.741849999999985</v>
      </c>
      <c r="BI16" s="423">
        <f>BH16*(1+'F0b Planungsparameter'!$M$22)</f>
        <v>75.115559249999976</v>
      </c>
    </row>
    <row r="17" spans="2:64" s="660" customFormat="1" ht="11.1" customHeight="1">
      <c r="B17" s="661">
        <v>33</v>
      </c>
      <c r="C17" s="667"/>
      <c r="D17" s="1428" t="s">
        <v>86</v>
      </c>
      <c r="E17" s="1428"/>
      <c r="F17" s="1429"/>
      <c r="G17" s="420">
        <f>'F1b Budget Aktuell'!$G14</f>
        <v>1255</v>
      </c>
      <c r="H17" s="423">
        <f>'F1c Budget Neu'!$G14</f>
        <v>1340</v>
      </c>
      <c r="I17" s="590"/>
      <c r="J17" s="649"/>
      <c r="K17" s="668"/>
      <c r="L17" s="668"/>
      <c r="M17" s="669"/>
      <c r="N17" s="602" t="str">
        <f t="shared" si="7"/>
        <v/>
      </c>
      <c r="O17" s="420">
        <f>'F1b Budget Aktuell'!$I14</f>
        <v>105</v>
      </c>
      <c r="P17" s="423">
        <f>'F1c Budget Neu'!$I14</f>
        <v>114</v>
      </c>
      <c r="Q17" s="590"/>
      <c r="R17" s="668"/>
      <c r="S17" s="668"/>
      <c r="T17" s="668"/>
      <c r="U17" s="669"/>
      <c r="W17" s="420">
        <f>'F1b Budget Aktuell'!$J14</f>
        <v>460</v>
      </c>
      <c r="X17" s="423">
        <f>'F1c Budget Neu'!$J14</f>
        <v>454</v>
      </c>
      <c r="Y17" s="590"/>
      <c r="Z17" s="668"/>
      <c r="AA17" s="668"/>
      <c r="AB17" s="668"/>
      <c r="AC17" s="669"/>
      <c r="AE17" s="420">
        <f>'F1b Budget Aktuell'!$K14</f>
        <v>15</v>
      </c>
      <c r="AF17" s="423">
        <f>'F1c Budget Neu'!$K14</f>
        <v>50</v>
      </c>
      <c r="AG17" s="590"/>
      <c r="AH17" s="668"/>
      <c r="AI17" s="668"/>
      <c r="AJ17" s="668"/>
      <c r="AK17" s="669"/>
      <c r="AM17" s="420">
        <f>'F1b Budget Aktuell'!$L14</f>
        <v>320</v>
      </c>
      <c r="AN17" s="423">
        <f>'F1c Budget Neu'!$L14</f>
        <v>329</v>
      </c>
      <c r="AO17" s="590"/>
      <c r="AP17" s="668"/>
      <c r="AQ17" s="668"/>
      <c r="AR17" s="668"/>
      <c r="AS17" s="669"/>
      <c r="AU17" s="420">
        <f>'F1b Budget Aktuell'!$M14</f>
        <v>355</v>
      </c>
      <c r="AV17" s="423">
        <f>'F1c Budget Neu'!$M14</f>
        <v>393</v>
      </c>
      <c r="AW17" s="590"/>
      <c r="AX17" s="668"/>
      <c r="AY17" s="668"/>
      <c r="AZ17" s="668"/>
      <c r="BA17" s="669"/>
      <c r="BC17" s="420">
        <f>'F1b Budget Aktuell'!$N14</f>
        <v>0</v>
      </c>
      <c r="BD17" s="423">
        <f>'F1c Budget Neu'!$N14</f>
        <v>0</v>
      </c>
      <c r="BE17" s="590"/>
      <c r="BF17" s="668"/>
      <c r="BG17" s="668"/>
      <c r="BH17" s="668"/>
      <c r="BI17" s="669"/>
    </row>
    <row r="18" spans="2:64" s="660" customFormat="1" ht="11.1" customHeight="1">
      <c r="B18" s="661">
        <v>34</v>
      </c>
      <c r="C18" s="667"/>
      <c r="D18" s="1428" t="s">
        <v>87</v>
      </c>
      <c r="E18" s="1428"/>
      <c r="F18" s="1429"/>
      <c r="G18" s="420">
        <f>'F1b Budget Aktuell'!G15</f>
        <v>20</v>
      </c>
      <c r="H18" s="423">
        <f>'F1c Budget Neu'!G15</f>
        <v>16</v>
      </c>
      <c r="I18" s="422">
        <f>H18-H20-H21</f>
        <v>15</v>
      </c>
      <c r="J18" s="423">
        <f t="shared" ref="J18:J19" si="8">I18</f>
        <v>15</v>
      </c>
      <c r="K18" s="423">
        <f t="shared" ref="K18:K19" si="9">J18</f>
        <v>15</v>
      </c>
      <c r="L18" s="423">
        <f t="shared" ref="L18:L19" si="10">K18</f>
        <v>15</v>
      </c>
      <c r="M18" s="423">
        <f t="shared" ref="M18:M19" si="11">L18</f>
        <v>15</v>
      </c>
      <c r="N18" s="602" t="str">
        <f t="shared" si="7"/>
        <v/>
      </c>
      <c r="O18" s="420">
        <f>'F1b Budget Aktuell'!$I15</f>
        <v>0</v>
      </c>
      <c r="P18" s="423">
        <f>'F1c Budget Neu'!$I15</f>
        <v>0</v>
      </c>
      <c r="Q18" s="422">
        <f>P18-P20-P21</f>
        <v>0</v>
      </c>
      <c r="R18" s="423">
        <f t="shared" ref="R18:R19" si="12">Q18</f>
        <v>0</v>
      </c>
      <c r="S18" s="423">
        <f t="shared" ref="S18:S19" si="13">R18</f>
        <v>0</v>
      </c>
      <c r="T18" s="423">
        <f t="shared" ref="T18:T19" si="14">S18</f>
        <v>0</v>
      </c>
      <c r="U18" s="423">
        <f t="shared" ref="U18:U19" si="15">T18</f>
        <v>0</v>
      </c>
      <c r="W18" s="420">
        <f>'F1b Budget Aktuell'!$J15</f>
        <v>0</v>
      </c>
      <c r="X18" s="423">
        <f>'F1c Budget Neu'!$J15</f>
        <v>0</v>
      </c>
      <c r="Y18" s="422">
        <f>X18-X20-X21</f>
        <v>0</v>
      </c>
      <c r="Z18" s="423">
        <f t="shared" ref="Z18:Z19" si="16">Y18</f>
        <v>0</v>
      </c>
      <c r="AA18" s="423">
        <f t="shared" ref="AA18:AA19" si="17">Z18</f>
        <v>0</v>
      </c>
      <c r="AB18" s="423">
        <f t="shared" ref="AB18:AB19" si="18">AA18</f>
        <v>0</v>
      </c>
      <c r="AC18" s="423">
        <f t="shared" ref="AC18:AC19" si="19">AB18</f>
        <v>0</v>
      </c>
      <c r="AE18" s="420">
        <f>'F1b Budget Aktuell'!$K15</f>
        <v>0</v>
      </c>
      <c r="AF18" s="423">
        <f>'F1c Budget Neu'!$K15</f>
        <v>0</v>
      </c>
      <c r="AG18" s="422">
        <f>AF18-AF20-AF21</f>
        <v>0</v>
      </c>
      <c r="AH18" s="423">
        <f t="shared" ref="AH18:AH19" si="20">AG18</f>
        <v>0</v>
      </c>
      <c r="AI18" s="423">
        <f t="shared" ref="AI18:AI19" si="21">AH18</f>
        <v>0</v>
      </c>
      <c r="AJ18" s="423">
        <f t="shared" ref="AJ18:AJ19" si="22">AI18</f>
        <v>0</v>
      </c>
      <c r="AK18" s="423">
        <f t="shared" ref="AK18:AK19" si="23">AJ18</f>
        <v>0</v>
      </c>
      <c r="AM18" s="420">
        <f>'F1b Budget Aktuell'!$L15</f>
        <v>1</v>
      </c>
      <c r="AN18" s="423">
        <f>'F1c Budget Neu'!$L15</f>
        <v>0</v>
      </c>
      <c r="AO18" s="422">
        <f>AN18-AN20-AN21</f>
        <v>0</v>
      </c>
      <c r="AP18" s="423">
        <f t="shared" ref="AP18:AP19" si="24">AO18</f>
        <v>0</v>
      </c>
      <c r="AQ18" s="423">
        <f t="shared" ref="AQ18:AQ19" si="25">AP18</f>
        <v>0</v>
      </c>
      <c r="AR18" s="423">
        <f t="shared" ref="AR18:AR19" si="26">AQ18</f>
        <v>0</v>
      </c>
      <c r="AS18" s="423">
        <f t="shared" ref="AS18:AS19" si="27">AR18</f>
        <v>0</v>
      </c>
      <c r="AU18" s="420">
        <f>'F1b Budget Aktuell'!$M15</f>
        <v>0</v>
      </c>
      <c r="AV18" s="423">
        <f>'F1c Budget Neu'!$M15</f>
        <v>0</v>
      </c>
      <c r="AW18" s="422">
        <f>AV18-AV20-AV21</f>
        <v>0</v>
      </c>
      <c r="AX18" s="423">
        <f t="shared" ref="AX18:AX19" si="28">AW18</f>
        <v>0</v>
      </c>
      <c r="AY18" s="423">
        <f t="shared" ref="AY18:AY19" si="29">AX18</f>
        <v>0</v>
      </c>
      <c r="AZ18" s="423">
        <f t="shared" ref="AZ18:AZ19" si="30">AY18</f>
        <v>0</v>
      </c>
      <c r="BA18" s="423">
        <f t="shared" ref="BA18:BA19" si="31">AZ18</f>
        <v>0</v>
      </c>
      <c r="BC18" s="420">
        <f>'F1b Budget Aktuell'!$N15</f>
        <v>19</v>
      </c>
      <c r="BD18" s="423">
        <f>'F1c Budget Neu'!$N15</f>
        <v>16</v>
      </c>
      <c r="BE18" s="422">
        <f>BD18-BD20-BD21</f>
        <v>15</v>
      </c>
      <c r="BF18" s="423">
        <f t="shared" ref="BF18:BF19" si="32">BE18</f>
        <v>15</v>
      </c>
      <c r="BG18" s="423">
        <f t="shared" ref="BG18:BG19" si="33">BF18</f>
        <v>15</v>
      </c>
      <c r="BH18" s="423">
        <f t="shared" ref="BH18:BH19" si="34">BG18</f>
        <v>15</v>
      </c>
      <c r="BI18" s="423">
        <f t="shared" ref="BI18:BI19" si="35">BH18</f>
        <v>15</v>
      </c>
    </row>
    <row r="19" spans="2:64" s="660" customFormat="1" ht="11.1" customHeight="1">
      <c r="B19" s="661"/>
      <c r="C19" s="662">
        <v>340</v>
      </c>
      <c r="D19" s="663" t="s">
        <v>357</v>
      </c>
      <c r="E19" s="663"/>
      <c r="F19" s="1261"/>
      <c r="G19" s="646">
        <f>'F1b Budget Aktuell'!$G16</f>
        <v>19</v>
      </c>
      <c r="H19" s="867">
        <f>'F1c Budget Neu'!$G16</f>
        <v>15</v>
      </c>
      <c r="I19" s="648">
        <f>H19</f>
        <v>15</v>
      </c>
      <c r="J19" s="649">
        <f t="shared" si="8"/>
        <v>15</v>
      </c>
      <c r="K19" s="649">
        <f t="shared" si="9"/>
        <v>15</v>
      </c>
      <c r="L19" s="649">
        <f t="shared" si="10"/>
        <v>15</v>
      </c>
      <c r="M19" s="595">
        <f t="shared" si="11"/>
        <v>15</v>
      </c>
      <c r="N19" s="602" t="str">
        <f t="shared" si="7"/>
        <v/>
      </c>
      <c r="O19" s="646">
        <f>'F1b Budget Aktuell'!$I16</f>
        <v>0</v>
      </c>
      <c r="P19" s="867">
        <f>'F1c Budget Neu'!$I16</f>
        <v>0</v>
      </c>
      <c r="Q19" s="648">
        <f>P19</f>
        <v>0</v>
      </c>
      <c r="R19" s="649">
        <f t="shared" si="12"/>
        <v>0</v>
      </c>
      <c r="S19" s="649">
        <f t="shared" si="13"/>
        <v>0</v>
      </c>
      <c r="T19" s="649">
        <f t="shared" si="14"/>
        <v>0</v>
      </c>
      <c r="U19" s="595">
        <f t="shared" si="15"/>
        <v>0</v>
      </c>
      <c r="V19" s="665"/>
      <c r="W19" s="646">
        <f>'F1b Budget Aktuell'!$J16</f>
        <v>0</v>
      </c>
      <c r="X19" s="867">
        <f>'F1c Budget Neu'!$J16</f>
        <v>0</v>
      </c>
      <c r="Y19" s="648">
        <f>X19</f>
        <v>0</v>
      </c>
      <c r="Z19" s="649">
        <f t="shared" si="16"/>
        <v>0</v>
      </c>
      <c r="AA19" s="649">
        <f t="shared" si="17"/>
        <v>0</v>
      </c>
      <c r="AB19" s="649">
        <f t="shared" si="18"/>
        <v>0</v>
      </c>
      <c r="AC19" s="595">
        <f t="shared" si="19"/>
        <v>0</v>
      </c>
      <c r="AD19" s="665"/>
      <c r="AE19" s="646">
        <f>'F1b Budget Aktuell'!$K16</f>
        <v>0</v>
      </c>
      <c r="AF19" s="867">
        <f>'F1c Budget Neu'!$K16</f>
        <v>0</v>
      </c>
      <c r="AG19" s="648">
        <f>AF19</f>
        <v>0</v>
      </c>
      <c r="AH19" s="649">
        <f t="shared" si="20"/>
        <v>0</v>
      </c>
      <c r="AI19" s="649">
        <f t="shared" si="21"/>
        <v>0</v>
      </c>
      <c r="AJ19" s="649">
        <f t="shared" si="22"/>
        <v>0</v>
      </c>
      <c r="AK19" s="595">
        <f t="shared" si="23"/>
        <v>0</v>
      </c>
      <c r="AL19" s="665"/>
      <c r="AM19" s="646">
        <f>'F1b Budget Aktuell'!$L16</f>
        <v>1</v>
      </c>
      <c r="AN19" s="867">
        <f>'F1c Budget Neu'!$L16</f>
        <v>0</v>
      </c>
      <c r="AO19" s="648">
        <f>AN19</f>
        <v>0</v>
      </c>
      <c r="AP19" s="649">
        <f t="shared" si="24"/>
        <v>0</v>
      </c>
      <c r="AQ19" s="649">
        <f t="shared" si="25"/>
        <v>0</v>
      </c>
      <c r="AR19" s="649">
        <f t="shared" si="26"/>
        <v>0</v>
      </c>
      <c r="AS19" s="595">
        <f t="shared" si="27"/>
        <v>0</v>
      </c>
      <c r="AT19" s="665"/>
      <c r="AU19" s="646">
        <f>'F1b Budget Aktuell'!$M16</f>
        <v>0</v>
      </c>
      <c r="AV19" s="867">
        <f>'F1c Budget Neu'!$M16</f>
        <v>0</v>
      </c>
      <c r="AW19" s="648">
        <f>AV19</f>
        <v>0</v>
      </c>
      <c r="AX19" s="649">
        <f t="shared" si="28"/>
        <v>0</v>
      </c>
      <c r="AY19" s="649">
        <f t="shared" si="29"/>
        <v>0</v>
      </c>
      <c r="AZ19" s="649">
        <f t="shared" si="30"/>
        <v>0</v>
      </c>
      <c r="BA19" s="595">
        <f t="shared" si="31"/>
        <v>0</v>
      </c>
      <c r="BB19" s="665"/>
      <c r="BC19" s="646">
        <f>'F1b Budget Aktuell'!$N16</f>
        <v>18</v>
      </c>
      <c r="BD19" s="867">
        <f>'F1c Budget Neu'!$N16</f>
        <v>15</v>
      </c>
      <c r="BE19" s="648">
        <f>BD19</f>
        <v>15</v>
      </c>
      <c r="BF19" s="649">
        <f t="shared" si="32"/>
        <v>15</v>
      </c>
      <c r="BG19" s="649">
        <f t="shared" si="33"/>
        <v>15</v>
      </c>
      <c r="BH19" s="649">
        <f t="shared" si="34"/>
        <v>15</v>
      </c>
      <c r="BI19" s="595">
        <f t="shared" si="35"/>
        <v>15</v>
      </c>
      <c r="BJ19" s="665"/>
      <c r="BK19" s="665"/>
      <c r="BL19" s="665"/>
    </row>
    <row r="20" spans="2:64" s="660" customFormat="1" ht="11.1" customHeight="1">
      <c r="B20" s="661"/>
      <c r="C20" s="662">
        <v>341</v>
      </c>
      <c r="D20" s="663" t="s">
        <v>209</v>
      </c>
      <c r="E20" s="663"/>
      <c r="F20" s="664"/>
      <c r="G20" s="646">
        <f>'F1b Budget Aktuell'!$G17</f>
        <v>0</v>
      </c>
      <c r="H20" s="867">
        <f>'F1c Budget Neu'!$G17</f>
        <v>0</v>
      </c>
      <c r="I20" s="648"/>
      <c r="J20" s="649"/>
      <c r="K20" s="649"/>
      <c r="L20" s="649"/>
      <c r="M20" s="595"/>
      <c r="N20" s="602" t="str">
        <f t="shared" si="7"/>
        <v/>
      </c>
      <c r="O20" s="646">
        <f>'F1b Budget Aktuell'!$I17</f>
        <v>0</v>
      </c>
      <c r="P20" s="867">
        <f>'F1c Budget Neu'!$I17</f>
        <v>0</v>
      </c>
      <c r="Q20" s="648"/>
      <c r="R20" s="649"/>
      <c r="S20" s="649"/>
      <c r="T20" s="649"/>
      <c r="U20" s="595"/>
      <c r="V20" s="665"/>
      <c r="W20" s="646">
        <f>'F1b Budget Aktuell'!$J17</f>
        <v>0</v>
      </c>
      <c r="X20" s="867">
        <f>'F1c Budget Neu'!$J17</f>
        <v>0</v>
      </c>
      <c r="Y20" s="648"/>
      <c r="Z20" s="649"/>
      <c r="AA20" s="649"/>
      <c r="AB20" s="649"/>
      <c r="AC20" s="595"/>
      <c r="AD20" s="665"/>
      <c r="AE20" s="646">
        <f>'F1b Budget Aktuell'!$K17</f>
        <v>0</v>
      </c>
      <c r="AF20" s="867">
        <f>'F1c Budget Neu'!$K17</f>
        <v>0</v>
      </c>
      <c r="AG20" s="648"/>
      <c r="AH20" s="649"/>
      <c r="AI20" s="649"/>
      <c r="AJ20" s="649"/>
      <c r="AK20" s="595"/>
      <c r="AL20" s="665"/>
      <c r="AM20" s="646">
        <f>'F1b Budget Aktuell'!$L17</f>
        <v>0</v>
      </c>
      <c r="AN20" s="867">
        <f>'F1c Budget Neu'!$L17</f>
        <v>0</v>
      </c>
      <c r="AO20" s="648"/>
      <c r="AP20" s="649"/>
      <c r="AQ20" s="649"/>
      <c r="AR20" s="649"/>
      <c r="AS20" s="595"/>
      <c r="AT20" s="665"/>
      <c r="AU20" s="646">
        <f>'F1b Budget Aktuell'!$M17</f>
        <v>0</v>
      </c>
      <c r="AV20" s="867">
        <f>'F1c Budget Neu'!$M17</f>
        <v>0</v>
      </c>
      <c r="AW20" s="648"/>
      <c r="AX20" s="649"/>
      <c r="AY20" s="649"/>
      <c r="AZ20" s="649"/>
      <c r="BA20" s="595"/>
      <c r="BB20" s="665"/>
      <c r="BC20" s="646">
        <f>'F1b Budget Aktuell'!$N17</f>
        <v>0</v>
      </c>
      <c r="BD20" s="867">
        <f>'F1c Budget Neu'!$N17</f>
        <v>0</v>
      </c>
      <c r="BE20" s="648"/>
      <c r="BF20" s="649"/>
      <c r="BG20" s="649"/>
      <c r="BH20" s="649"/>
      <c r="BI20" s="595"/>
      <c r="BJ20" s="665"/>
      <c r="BK20" s="665"/>
      <c r="BL20" s="665"/>
    </row>
    <row r="21" spans="2:64" s="660" customFormat="1" ht="11.1" customHeight="1">
      <c r="B21" s="661"/>
      <c r="C21" s="662" t="s">
        <v>206</v>
      </c>
      <c r="D21" s="663" t="s">
        <v>210</v>
      </c>
      <c r="E21" s="663"/>
      <c r="F21" s="664"/>
      <c r="G21" s="646">
        <f>'F1b Budget Aktuell'!$G18</f>
        <v>0</v>
      </c>
      <c r="H21" s="867">
        <f>'F1c Budget Neu'!$G18</f>
        <v>1</v>
      </c>
      <c r="I21" s="648"/>
      <c r="J21" s="649"/>
      <c r="K21" s="649"/>
      <c r="L21" s="649"/>
      <c r="M21" s="595"/>
      <c r="N21" s="602" t="str">
        <f t="shared" si="7"/>
        <v/>
      </c>
      <c r="O21" s="646">
        <f>'F1b Budget Aktuell'!$I18</f>
        <v>0</v>
      </c>
      <c r="P21" s="867">
        <f>'F1c Budget Neu'!$I18</f>
        <v>0</v>
      </c>
      <c r="Q21" s="648"/>
      <c r="R21" s="649"/>
      <c r="S21" s="649"/>
      <c r="T21" s="649"/>
      <c r="U21" s="595"/>
      <c r="V21" s="665"/>
      <c r="W21" s="646">
        <f>'F1b Budget Aktuell'!$J18</f>
        <v>0</v>
      </c>
      <c r="X21" s="867">
        <f>'F1c Budget Neu'!$J18</f>
        <v>0</v>
      </c>
      <c r="Y21" s="648"/>
      <c r="Z21" s="649"/>
      <c r="AA21" s="649"/>
      <c r="AB21" s="649"/>
      <c r="AC21" s="595"/>
      <c r="AD21" s="665"/>
      <c r="AE21" s="646">
        <f>'F1b Budget Aktuell'!$K18</f>
        <v>0</v>
      </c>
      <c r="AF21" s="867">
        <f>'F1c Budget Neu'!$K18</f>
        <v>0</v>
      </c>
      <c r="AG21" s="648"/>
      <c r="AH21" s="649"/>
      <c r="AI21" s="649"/>
      <c r="AJ21" s="649"/>
      <c r="AK21" s="595"/>
      <c r="AL21" s="665"/>
      <c r="AM21" s="646">
        <f>'F1b Budget Aktuell'!$L18</f>
        <v>0</v>
      </c>
      <c r="AN21" s="867">
        <f>'F1c Budget Neu'!$L18</f>
        <v>0</v>
      </c>
      <c r="AO21" s="648"/>
      <c r="AP21" s="649"/>
      <c r="AQ21" s="649"/>
      <c r="AR21" s="649"/>
      <c r="AS21" s="595"/>
      <c r="AT21" s="665"/>
      <c r="AU21" s="646">
        <f>'F1b Budget Aktuell'!$M18</f>
        <v>0</v>
      </c>
      <c r="AV21" s="867">
        <f>'F1c Budget Neu'!$M18</f>
        <v>0</v>
      </c>
      <c r="AW21" s="648"/>
      <c r="AX21" s="649"/>
      <c r="AY21" s="649"/>
      <c r="AZ21" s="649"/>
      <c r="BA21" s="595"/>
      <c r="BB21" s="665"/>
      <c r="BC21" s="646">
        <f>'F1b Budget Aktuell'!$N18</f>
        <v>0</v>
      </c>
      <c r="BD21" s="867">
        <f>'F1c Budget Neu'!$N18</f>
        <v>1</v>
      </c>
      <c r="BE21" s="648"/>
      <c r="BF21" s="649"/>
      <c r="BG21" s="649"/>
      <c r="BH21" s="649"/>
      <c r="BI21" s="595"/>
      <c r="BJ21" s="665"/>
      <c r="BK21" s="665"/>
      <c r="BL21" s="665"/>
    </row>
    <row r="22" spans="2:64" s="660" customFormat="1" ht="11.1" customHeight="1">
      <c r="B22" s="661">
        <v>35</v>
      </c>
      <c r="C22" s="667"/>
      <c r="D22" s="1439" t="s">
        <v>178</v>
      </c>
      <c r="E22" s="1439"/>
      <c r="F22" s="1440"/>
      <c r="G22" s="420">
        <f>'F1b Budget Aktuell'!G19</f>
        <v>1</v>
      </c>
      <c r="H22" s="423">
        <f>'F1c Budget Neu'!G19</f>
        <v>0</v>
      </c>
      <c r="I22" s="590"/>
      <c r="J22" s="649" t="s">
        <v>333</v>
      </c>
      <c r="K22" s="591"/>
      <c r="L22" s="591"/>
      <c r="M22" s="591"/>
      <c r="N22" s="602" t="str">
        <f t="shared" si="7"/>
        <v/>
      </c>
      <c r="O22" s="420">
        <f>'F1b Budget Aktuell'!$I19</f>
        <v>0</v>
      </c>
      <c r="P22" s="423">
        <f>'F1c Budget Neu'!$I19</f>
        <v>0</v>
      </c>
      <c r="Q22" s="590"/>
      <c r="R22" s="589"/>
      <c r="S22" s="591"/>
      <c r="T22" s="591"/>
      <c r="U22" s="591"/>
      <c r="W22" s="420">
        <f>'F1b Budget Aktuell'!$J19</f>
        <v>0</v>
      </c>
      <c r="X22" s="423">
        <f>'F1c Budget Neu'!$J19</f>
        <v>0</v>
      </c>
      <c r="Y22" s="590"/>
      <c r="Z22" s="589"/>
      <c r="AA22" s="591"/>
      <c r="AB22" s="591"/>
      <c r="AC22" s="591"/>
      <c r="AE22" s="420">
        <f>'F1b Budget Aktuell'!$K19</f>
        <v>0</v>
      </c>
      <c r="AF22" s="423">
        <f>'F1c Budget Neu'!$K19</f>
        <v>0</v>
      </c>
      <c r="AG22" s="590"/>
      <c r="AH22" s="589"/>
      <c r="AI22" s="591"/>
      <c r="AJ22" s="591"/>
      <c r="AK22" s="591"/>
      <c r="AM22" s="420">
        <f>'F1b Budget Aktuell'!$L19</f>
        <v>0</v>
      </c>
      <c r="AN22" s="423">
        <f>'F1c Budget Neu'!$L19</f>
        <v>0</v>
      </c>
      <c r="AO22" s="590"/>
      <c r="AP22" s="589"/>
      <c r="AQ22" s="591"/>
      <c r="AR22" s="591"/>
      <c r="AS22" s="591"/>
      <c r="AU22" s="420">
        <f>'F1b Budget Aktuell'!$M19</f>
        <v>1</v>
      </c>
      <c r="AV22" s="423">
        <f>'F1c Budget Neu'!$M19</f>
        <v>0</v>
      </c>
      <c r="AW22" s="590"/>
      <c r="AX22" s="589"/>
      <c r="AY22" s="591"/>
      <c r="AZ22" s="591"/>
      <c r="BA22" s="591"/>
      <c r="BC22" s="420">
        <f>'F1b Budget Aktuell'!$N19</f>
        <v>0</v>
      </c>
      <c r="BD22" s="423">
        <f>'F1c Budget Neu'!$N19</f>
        <v>0</v>
      </c>
      <c r="BE22" s="590"/>
      <c r="BF22" s="589"/>
      <c r="BG22" s="591"/>
      <c r="BH22" s="591"/>
      <c r="BI22" s="591"/>
    </row>
    <row r="23" spans="2:64" s="660" customFormat="1" ht="11.1" customHeight="1">
      <c r="B23" s="661"/>
      <c r="C23" s="662">
        <v>350</v>
      </c>
      <c r="D23" s="663" t="s">
        <v>199</v>
      </c>
      <c r="E23" s="663"/>
      <c r="F23" s="664"/>
      <c r="G23" s="646">
        <f>'F1b Budget Aktuell'!$G20</f>
        <v>0</v>
      </c>
      <c r="H23" s="867">
        <f>'F1c Budget Neu'!$G20</f>
        <v>0</v>
      </c>
      <c r="I23" s="590"/>
      <c r="J23" s="649" t="s">
        <v>333</v>
      </c>
      <c r="K23" s="591"/>
      <c r="L23" s="591"/>
      <c r="M23" s="591"/>
      <c r="N23" s="602" t="str">
        <f t="shared" si="7"/>
        <v/>
      </c>
      <c r="O23" s="646">
        <f>'F1b Budget Aktuell'!$I20</f>
        <v>0</v>
      </c>
      <c r="P23" s="867">
        <f>'F1c Budget Neu'!$I20</f>
        <v>0</v>
      </c>
      <c r="Q23" s="590"/>
      <c r="R23" s="589"/>
      <c r="S23" s="591"/>
      <c r="T23" s="591"/>
      <c r="U23" s="591"/>
      <c r="V23" s="665"/>
      <c r="W23" s="646">
        <f>'F1b Budget Aktuell'!$J20</f>
        <v>0</v>
      </c>
      <c r="X23" s="867">
        <f>'F1c Budget Neu'!$J20</f>
        <v>0</v>
      </c>
      <c r="Y23" s="590"/>
      <c r="Z23" s="589"/>
      <c r="AA23" s="591"/>
      <c r="AB23" s="591"/>
      <c r="AC23" s="591"/>
      <c r="AD23" s="665"/>
      <c r="AE23" s="646">
        <f>'F1b Budget Aktuell'!$K20</f>
        <v>0</v>
      </c>
      <c r="AF23" s="867">
        <f>'F1c Budget Neu'!$K20</f>
        <v>0</v>
      </c>
      <c r="AG23" s="590"/>
      <c r="AH23" s="589"/>
      <c r="AI23" s="591"/>
      <c r="AJ23" s="591"/>
      <c r="AK23" s="591"/>
      <c r="AL23" s="665"/>
      <c r="AM23" s="646">
        <f>'F1b Budget Aktuell'!$L20</f>
        <v>0</v>
      </c>
      <c r="AN23" s="867">
        <f>'F1c Budget Neu'!$L20</f>
        <v>0</v>
      </c>
      <c r="AO23" s="590"/>
      <c r="AP23" s="589"/>
      <c r="AQ23" s="591"/>
      <c r="AR23" s="591"/>
      <c r="AS23" s="591"/>
      <c r="AT23" s="665"/>
      <c r="AU23" s="646">
        <f>'F1b Budget Aktuell'!$M20</f>
        <v>0</v>
      </c>
      <c r="AV23" s="867">
        <f>'F1c Budget Neu'!$M20</f>
        <v>0</v>
      </c>
      <c r="AW23" s="590"/>
      <c r="AX23" s="589"/>
      <c r="AY23" s="591"/>
      <c r="AZ23" s="591"/>
      <c r="BA23" s="591"/>
      <c r="BB23" s="665"/>
      <c r="BC23" s="646">
        <f>'F1b Budget Aktuell'!$N20</f>
        <v>0</v>
      </c>
      <c r="BD23" s="867">
        <f>'F1c Budget Neu'!$N20</f>
        <v>0</v>
      </c>
      <c r="BE23" s="590"/>
      <c r="BF23" s="589"/>
      <c r="BG23" s="591"/>
      <c r="BH23" s="591"/>
      <c r="BI23" s="591"/>
      <c r="BJ23" s="665"/>
      <c r="BK23" s="665"/>
      <c r="BL23" s="665"/>
    </row>
    <row r="24" spans="2:64" s="660" customFormat="1" ht="11.1" customHeight="1">
      <c r="B24" s="661"/>
      <c r="C24" s="662">
        <v>3510</v>
      </c>
      <c r="D24" s="663" t="s">
        <v>204</v>
      </c>
      <c r="E24" s="663"/>
      <c r="F24" s="664"/>
      <c r="G24" s="646">
        <f>'F1b Budget Aktuell'!$G21</f>
        <v>1</v>
      </c>
      <c r="H24" s="867">
        <f>'F1c Budget Neu'!$G21</f>
        <v>0</v>
      </c>
      <c r="I24" s="590"/>
      <c r="J24" s="649" t="s">
        <v>333</v>
      </c>
      <c r="K24" s="591"/>
      <c r="L24" s="591"/>
      <c r="M24" s="591"/>
      <c r="N24" s="602" t="str">
        <f t="shared" si="7"/>
        <v/>
      </c>
      <c r="O24" s="646">
        <f>'F1b Budget Aktuell'!$I21</f>
        <v>0</v>
      </c>
      <c r="P24" s="867">
        <f>'F1c Budget Neu'!$I21</f>
        <v>0</v>
      </c>
      <c r="Q24" s="590"/>
      <c r="R24" s="589"/>
      <c r="S24" s="591"/>
      <c r="T24" s="591"/>
      <c r="U24" s="591"/>
      <c r="V24" s="665"/>
      <c r="W24" s="646">
        <f>'F1b Budget Aktuell'!$J21</f>
        <v>0</v>
      </c>
      <c r="X24" s="867">
        <f>'F1c Budget Neu'!$J21</f>
        <v>0</v>
      </c>
      <c r="Y24" s="590"/>
      <c r="Z24" s="589"/>
      <c r="AA24" s="591"/>
      <c r="AB24" s="591"/>
      <c r="AC24" s="591"/>
      <c r="AD24" s="665"/>
      <c r="AE24" s="646">
        <f>'F1b Budget Aktuell'!$K21</f>
        <v>0</v>
      </c>
      <c r="AF24" s="867">
        <f>'F1c Budget Neu'!$K21</f>
        <v>0</v>
      </c>
      <c r="AG24" s="590"/>
      <c r="AH24" s="589"/>
      <c r="AI24" s="591"/>
      <c r="AJ24" s="591"/>
      <c r="AK24" s="591"/>
      <c r="AL24" s="665"/>
      <c r="AM24" s="646">
        <f>'F1b Budget Aktuell'!$L21</f>
        <v>0</v>
      </c>
      <c r="AN24" s="867">
        <f>'F1c Budget Neu'!$L21</f>
        <v>0</v>
      </c>
      <c r="AO24" s="590"/>
      <c r="AP24" s="589"/>
      <c r="AQ24" s="591"/>
      <c r="AR24" s="591"/>
      <c r="AS24" s="591"/>
      <c r="AT24" s="665"/>
      <c r="AU24" s="646">
        <f>'F1b Budget Aktuell'!$M21</f>
        <v>1</v>
      </c>
      <c r="AV24" s="867">
        <f>'F1c Budget Neu'!$M21</f>
        <v>0</v>
      </c>
      <c r="AW24" s="590"/>
      <c r="AX24" s="589"/>
      <c r="AY24" s="591"/>
      <c r="AZ24" s="591"/>
      <c r="BA24" s="591"/>
      <c r="BB24" s="665"/>
      <c r="BC24" s="646">
        <f>'F1b Budget Aktuell'!$N21</f>
        <v>0</v>
      </c>
      <c r="BD24" s="867">
        <f>'F1c Budget Neu'!$N21</f>
        <v>0</v>
      </c>
      <c r="BE24" s="590"/>
      <c r="BF24" s="589"/>
      <c r="BG24" s="591"/>
      <c r="BH24" s="591"/>
      <c r="BI24" s="591"/>
      <c r="BJ24" s="665"/>
      <c r="BK24" s="665"/>
      <c r="BL24" s="665"/>
    </row>
    <row r="25" spans="2:64" s="660" customFormat="1" ht="11.1" customHeight="1">
      <c r="B25" s="661"/>
      <c r="C25" s="662">
        <v>3511</v>
      </c>
      <c r="D25" s="663" t="s">
        <v>205</v>
      </c>
      <c r="E25" s="663"/>
      <c r="F25" s="933"/>
      <c r="G25" s="646">
        <f>'F1b Budget Aktuell'!$G22</f>
        <v>0</v>
      </c>
      <c r="H25" s="867">
        <f>'F1c Budget Neu'!$G22</f>
        <v>0</v>
      </c>
      <c r="I25" s="590"/>
      <c r="J25" s="649" t="s">
        <v>333</v>
      </c>
      <c r="K25" s="591"/>
      <c r="L25" s="591"/>
      <c r="M25" s="591"/>
      <c r="N25" s="602" t="str">
        <f t="shared" si="7"/>
        <v/>
      </c>
      <c r="O25" s="646">
        <f>'F1b Budget Aktuell'!$I22</f>
        <v>0</v>
      </c>
      <c r="P25" s="867">
        <f>'F1c Budget Neu'!$I22</f>
        <v>0</v>
      </c>
      <c r="Q25" s="590"/>
      <c r="R25" s="589"/>
      <c r="S25" s="591"/>
      <c r="T25" s="591"/>
      <c r="U25" s="591"/>
      <c r="V25" s="665"/>
      <c r="W25" s="646">
        <f>'F1b Budget Aktuell'!$J22</f>
        <v>0</v>
      </c>
      <c r="X25" s="867">
        <f>'F1c Budget Neu'!$J22</f>
        <v>0</v>
      </c>
      <c r="Y25" s="590"/>
      <c r="Z25" s="589"/>
      <c r="AA25" s="591"/>
      <c r="AB25" s="591"/>
      <c r="AC25" s="591"/>
      <c r="AD25" s="665"/>
      <c r="AE25" s="646">
        <f>'F1b Budget Aktuell'!$K22</f>
        <v>0</v>
      </c>
      <c r="AF25" s="867">
        <f>'F1c Budget Neu'!$K22</f>
        <v>0</v>
      </c>
      <c r="AG25" s="590"/>
      <c r="AH25" s="589"/>
      <c r="AI25" s="591"/>
      <c r="AJ25" s="591"/>
      <c r="AK25" s="591"/>
      <c r="AL25" s="665"/>
      <c r="AM25" s="646">
        <f>'F1b Budget Aktuell'!$L22</f>
        <v>0</v>
      </c>
      <c r="AN25" s="867">
        <f>'F1c Budget Neu'!$L22</f>
        <v>0</v>
      </c>
      <c r="AO25" s="590"/>
      <c r="AP25" s="589"/>
      <c r="AQ25" s="591"/>
      <c r="AR25" s="591"/>
      <c r="AS25" s="591"/>
      <c r="AT25" s="665"/>
      <c r="AU25" s="646">
        <f>'F1b Budget Aktuell'!$M22</f>
        <v>0</v>
      </c>
      <c r="AV25" s="867">
        <f>'F1c Budget Neu'!$M22</f>
        <v>0</v>
      </c>
      <c r="AW25" s="590"/>
      <c r="AX25" s="589"/>
      <c r="AY25" s="591"/>
      <c r="AZ25" s="591"/>
      <c r="BA25" s="591"/>
      <c r="BB25" s="665"/>
      <c r="BC25" s="646">
        <f>'F1b Budget Aktuell'!$N22</f>
        <v>0</v>
      </c>
      <c r="BD25" s="867">
        <f>'F1c Budget Neu'!$N22</f>
        <v>0</v>
      </c>
      <c r="BE25" s="590"/>
      <c r="BF25" s="589"/>
      <c r="BG25" s="591"/>
      <c r="BH25" s="591"/>
      <c r="BI25" s="591"/>
      <c r="BJ25" s="665"/>
      <c r="BK25" s="665"/>
      <c r="BL25" s="665"/>
    </row>
    <row r="26" spans="2:64" s="660" customFormat="1" ht="11.1" customHeight="1">
      <c r="B26" s="661"/>
      <c r="C26" s="662">
        <v>3512</v>
      </c>
      <c r="D26" s="663" t="s">
        <v>292</v>
      </c>
      <c r="E26" s="663"/>
      <c r="F26" s="664"/>
      <c r="G26" s="646">
        <f>'F1b Budget Aktuell'!$G23</f>
        <v>0</v>
      </c>
      <c r="H26" s="867">
        <f>'F1c Budget Neu'!$G23</f>
        <v>0</v>
      </c>
      <c r="I26" s="590"/>
      <c r="J26" s="649" t="s">
        <v>333</v>
      </c>
      <c r="K26" s="591"/>
      <c r="L26" s="591"/>
      <c r="M26" s="591"/>
      <c r="N26" s="602" t="str">
        <f t="shared" si="7"/>
        <v/>
      </c>
      <c r="O26" s="646">
        <f>'F1b Budget Aktuell'!$I23</f>
        <v>0</v>
      </c>
      <c r="P26" s="867">
        <f>'F1c Budget Neu'!$I23</f>
        <v>0</v>
      </c>
      <c r="Q26" s="590"/>
      <c r="R26" s="589"/>
      <c r="S26" s="591"/>
      <c r="T26" s="591"/>
      <c r="U26" s="591"/>
      <c r="V26" s="665"/>
      <c r="W26" s="646">
        <f>'F1b Budget Aktuell'!$J23</f>
        <v>0</v>
      </c>
      <c r="X26" s="867">
        <f>'F1c Budget Neu'!$J23</f>
        <v>0</v>
      </c>
      <c r="Y26" s="590"/>
      <c r="Z26" s="589"/>
      <c r="AA26" s="591"/>
      <c r="AB26" s="591"/>
      <c r="AC26" s="591"/>
      <c r="AD26" s="665"/>
      <c r="AE26" s="646">
        <f>'F1b Budget Aktuell'!$K23</f>
        <v>0</v>
      </c>
      <c r="AF26" s="867">
        <f>'F1c Budget Neu'!$K23</f>
        <v>0</v>
      </c>
      <c r="AG26" s="590"/>
      <c r="AH26" s="589"/>
      <c r="AI26" s="591"/>
      <c r="AJ26" s="591"/>
      <c r="AK26" s="591"/>
      <c r="AL26" s="665"/>
      <c r="AM26" s="646">
        <f>'F1b Budget Aktuell'!$L23</f>
        <v>0</v>
      </c>
      <c r="AN26" s="867">
        <f>'F1c Budget Neu'!$L23</f>
        <v>0</v>
      </c>
      <c r="AO26" s="590"/>
      <c r="AP26" s="589"/>
      <c r="AQ26" s="591"/>
      <c r="AR26" s="591"/>
      <c r="AS26" s="591"/>
      <c r="AT26" s="665"/>
      <c r="AU26" s="646">
        <f>'F1b Budget Aktuell'!$M23</f>
        <v>0</v>
      </c>
      <c r="AV26" s="867">
        <f>'F1c Budget Neu'!$M23</f>
        <v>0</v>
      </c>
      <c r="AW26" s="590"/>
      <c r="AX26" s="589"/>
      <c r="AY26" s="591"/>
      <c r="AZ26" s="591"/>
      <c r="BA26" s="591"/>
      <c r="BB26" s="665"/>
      <c r="BC26" s="646">
        <f>'F1b Budget Aktuell'!$N23</f>
        <v>0</v>
      </c>
      <c r="BD26" s="867">
        <f>'F1c Budget Neu'!$N23</f>
        <v>0</v>
      </c>
      <c r="BE26" s="590"/>
      <c r="BF26" s="589"/>
      <c r="BG26" s="591"/>
      <c r="BH26" s="591"/>
      <c r="BI26" s="591"/>
      <c r="BJ26" s="665"/>
      <c r="BK26" s="665"/>
      <c r="BL26" s="665"/>
    </row>
    <row r="27" spans="2:64" s="660" customFormat="1" ht="11.1" customHeight="1">
      <c r="B27" s="661">
        <v>36</v>
      </c>
      <c r="C27" s="667"/>
      <c r="D27" s="1428" t="s">
        <v>88</v>
      </c>
      <c r="E27" s="1428"/>
      <c r="F27" s="1429"/>
      <c r="G27" s="420">
        <f>'F1b Budget Aktuell'!G24</f>
        <v>5916</v>
      </c>
      <c r="H27" s="423">
        <f>'F1c Budget Neu'!G24</f>
        <v>5988</v>
      </c>
      <c r="I27" s="422">
        <f>(H27-H28)*(1+'F0b Planungsparameter'!$I23)+I28</f>
        <v>6017.6649999999991</v>
      </c>
      <c r="J27" s="420">
        <f>(I27-I28)*(1+'F0b Planungsparameter'!$J23)+J28</f>
        <v>6047.4783249999982</v>
      </c>
      <c r="K27" s="420">
        <f>(J27-J28)*(1+'F0b Planungsparameter'!$K23)+K28</f>
        <v>6077.4407166249975</v>
      </c>
      <c r="L27" s="420">
        <f>(K27-K28)*(1+'F0b Planungsparameter'!$L23)+L28</f>
        <v>6107.5529202081216</v>
      </c>
      <c r="M27" s="423">
        <f>(L27-L28)*(1+'F0b Planungsparameter'!$M23)+M28</f>
        <v>6082.8156848091612</v>
      </c>
      <c r="N27" s="602" t="str">
        <f t="shared" si="7"/>
        <v/>
      </c>
      <c r="O27" s="420">
        <f>'F1b Budget Aktuell'!$I24</f>
        <v>81</v>
      </c>
      <c r="P27" s="423">
        <f>'F1c Budget Neu'!$I24</f>
        <v>82</v>
      </c>
      <c r="Q27" s="422">
        <f>(P27-P28)*(1+'F0b Planungsparameter'!$I$23)+Q28</f>
        <v>82.41</v>
      </c>
      <c r="R27" s="420">
        <f>(Q27-Q28)*(1+'F0b Planungsparameter'!$J$23)+R28</f>
        <v>82.82204999999999</v>
      </c>
      <c r="S27" s="420">
        <f>(R27-R28)*(1+'F0b Planungsparameter'!$K$23)+S28</f>
        <v>83.236160249999983</v>
      </c>
      <c r="T27" s="420">
        <f>(S27-S28)*(1+'F0b Planungsparameter'!$L$23)+T28</f>
        <v>83.652341051249977</v>
      </c>
      <c r="U27" s="423">
        <f>(T27-T28)*(1+'F0b Planungsparameter'!$M$23)+U28</f>
        <v>84.070602756506219</v>
      </c>
      <c r="W27" s="420">
        <f>'F1b Budget Aktuell'!$J24</f>
        <v>973</v>
      </c>
      <c r="X27" s="423">
        <f>'F1c Budget Neu'!$J24</f>
        <v>962</v>
      </c>
      <c r="Y27" s="422">
        <f>(X27-X28)*(1+'F0b Planungsparameter'!$I$23)+Y28</f>
        <v>966.81</v>
      </c>
      <c r="Z27" s="420">
        <f>(Y27-Y28)*(1+'F0b Planungsparameter'!$J$23)+Z28</f>
        <v>971.64404999999988</v>
      </c>
      <c r="AA27" s="420">
        <f>(Z27-Z28)*(1+'F0b Planungsparameter'!$K$23)+AA28</f>
        <v>976.50227024999981</v>
      </c>
      <c r="AB27" s="420">
        <f>(AA27-AA28)*(1+'F0b Planungsparameter'!$L$23)+AB28</f>
        <v>981.38478160124976</v>
      </c>
      <c r="AC27" s="423">
        <f>(AB27-AB28)*(1+'F0b Planungsparameter'!$M$23)+AC28</f>
        <v>986.29170550925585</v>
      </c>
      <c r="AE27" s="420">
        <f>'F1b Budget Aktuell'!$K24</f>
        <v>38</v>
      </c>
      <c r="AF27" s="423">
        <f>'F1c Budget Neu'!$K24</f>
        <v>46</v>
      </c>
      <c r="AG27" s="422">
        <f>(AF27-AF28)*(1+'F0b Planungsparameter'!$I$23)+AG28</f>
        <v>46.23</v>
      </c>
      <c r="AH27" s="420">
        <f>(AG27-AG28)*(1+'F0b Planungsparameter'!$J$23)+AH28</f>
        <v>46.461149999999989</v>
      </c>
      <c r="AI27" s="420">
        <f>(AH27-AH28)*(1+'F0b Planungsparameter'!$K$23)+AI28</f>
        <v>46.693455749999984</v>
      </c>
      <c r="AJ27" s="420">
        <f>(AI27-AI28)*(1+'F0b Planungsparameter'!$L$23)+AJ28</f>
        <v>46.926923028749982</v>
      </c>
      <c r="AK27" s="423">
        <f>(AJ27-AJ28)*(1+'F0b Planungsparameter'!$M$23)+AK28</f>
        <v>47.16155764389373</v>
      </c>
      <c r="AM27" s="420">
        <f>'F1b Budget Aktuell'!$L24</f>
        <v>4165</v>
      </c>
      <c r="AN27" s="423">
        <f>'F1c Budget Neu'!$L24</f>
        <v>4225</v>
      </c>
      <c r="AO27" s="422">
        <f>(AN27-AN28)*(1+'F0b Planungsparameter'!$I$23)+AO28</f>
        <v>4246.125</v>
      </c>
      <c r="AP27" s="420">
        <f>(AO27-AO28)*(1+'F0b Planungsparameter'!$J$23)+AP28</f>
        <v>4267.3556249999992</v>
      </c>
      <c r="AQ27" s="420">
        <f>(AP27-AP28)*(1+'F0b Planungsparameter'!$K$23)+AQ28</f>
        <v>4288.6924031249991</v>
      </c>
      <c r="AR27" s="420">
        <f>(AQ27-AQ28)*(1+'F0b Planungsparameter'!$L$23)+AR28</f>
        <v>4310.1358651406235</v>
      </c>
      <c r="AS27" s="423">
        <f>(AR27-AR28)*(1+'F0b Planungsparameter'!$M$23)+AS28</f>
        <v>4331.6865444663263</v>
      </c>
      <c r="AU27" s="420">
        <f>'F1b Budget Aktuell'!$M24</f>
        <v>604</v>
      </c>
      <c r="AV27" s="423">
        <f>'F1c Budget Neu'!$M24</f>
        <v>618</v>
      </c>
      <c r="AW27" s="422">
        <f>(AV27-AV28)*(1+'F0b Planungsparameter'!$I$23)+AW28</f>
        <v>621.08999999999992</v>
      </c>
      <c r="AX27" s="420">
        <f>(AW27-AW28)*(1+'F0b Planungsparameter'!$J$23)+AX28</f>
        <v>624.19544999999982</v>
      </c>
      <c r="AY27" s="420">
        <f>(AX27-AX28)*(1+'F0b Planungsparameter'!$K$23)+AY28</f>
        <v>627.31642724999972</v>
      </c>
      <c r="AZ27" s="420">
        <f>(AY27-AY28)*(1+'F0b Planungsparameter'!$L$23)+AZ28</f>
        <v>630.45300938624962</v>
      </c>
      <c r="BA27" s="423">
        <f>(AZ27-AZ28)*(1+'F0b Planungsparameter'!$M$23)+BA28</f>
        <v>633.60527443318085</v>
      </c>
      <c r="BC27" s="420">
        <f>'F1b Budget Aktuell'!$N24</f>
        <v>55</v>
      </c>
      <c r="BD27" s="423">
        <f>'F1c Budget Neu'!$N24</f>
        <v>55</v>
      </c>
      <c r="BE27" s="422">
        <f>(BD27-BD28)*(1+'F0b Planungsparameter'!$I$23)+BE28</f>
        <v>55</v>
      </c>
      <c r="BF27" s="420">
        <f>(BE27-BE28)*(1+'F0b Planungsparameter'!$J$23)+BF28</f>
        <v>55</v>
      </c>
      <c r="BG27" s="420">
        <f>(BF27-BF28)*(1+'F0b Planungsparameter'!$K$23)+BG28</f>
        <v>55</v>
      </c>
      <c r="BH27" s="420">
        <f>(BG27-BG28)*(1+'F0b Planungsparameter'!$L$23)+BH28</f>
        <v>55</v>
      </c>
      <c r="BI27" s="423">
        <f>(BH27-BH28)*(1+'F0b Planungsparameter'!$M$23)+BI28</f>
        <v>0</v>
      </c>
    </row>
    <row r="28" spans="2:64" s="1191" customFormat="1" ht="11.1" customHeight="1">
      <c r="B28" s="1192"/>
      <c r="C28" s="699">
        <v>362</v>
      </c>
      <c r="D28" s="1193"/>
      <c r="E28" s="1441" t="s">
        <v>177</v>
      </c>
      <c r="F28" s="1442"/>
      <c r="G28" s="646">
        <f>'F1b Budget Aktuell'!G25</f>
        <v>55</v>
      </c>
      <c r="H28" s="867">
        <f>'F1c Budget Neu'!G25</f>
        <v>55</v>
      </c>
      <c r="I28" s="648">
        <f>'F0b Planungsparameter'!$I60</f>
        <v>55</v>
      </c>
      <c r="J28" s="649">
        <f>'F0b Planungsparameter'!$J60</f>
        <v>55</v>
      </c>
      <c r="K28" s="649">
        <f>'F0b Planungsparameter'!$K60</f>
        <v>55</v>
      </c>
      <c r="L28" s="649">
        <f>'F0b Planungsparameter'!$L60</f>
        <v>55</v>
      </c>
      <c r="M28" s="595">
        <f>'F0b Planungsparameter'!$M60</f>
        <v>0</v>
      </c>
      <c r="N28" s="1194" t="str">
        <f t="shared" si="7"/>
        <v/>
      </c>
      <c r="O28" s="646">
        <f>'F1b Budget Aktuell'!$I25</f>
        <v>0</v>
      </c>
      <c r="P28" s="867">
        <f>'F1c Budget Neu'!$I25</f>
        <v>0</v>
      </c>
      <c r="Q28" s="648">
        <f>IF('F0a Konfiguration'!$C$26='F2 Weiterführung ER'!O$7,'F0b Planungsparameter'!$I$60,0)</f>
        <v>0</v>
      </c>
      <c r="R28" s="649">
        <f>IF('F0a Konfiguration'!$C$26='F2 Weiterführung ER'!O$7,'F0b Planungsparameter'!$J$60,0)</f>
        <v>0</v>
      </c>
      <c r="S28" s="649">
        <f>IF('F0a Konfiguration'!$C$26='F2 Weiterführung ER'!O$7,'F0b Planungsparameter'!$K$60,0)</f>
        <v>0</v>
      </c>
      <c r="T28" s="649">
        <f>IF('F0a Konfiguration'!$C$26='F2 Weiterführung ER'!O$7,'F0b Planungsparameter'!$L$60,0)</f>
        <v>0</v>
      </c>
      <c r="U28" s="595">
        <f>IF('F0a Konfiguration'!$C$26='F2 Weiterführung ER'!O$7,'F0b Planungsparameter'!$M$60,0)</f>
        <v>0</v>
      </c>
      <c r="V28" s="1195"/>
      <c r="W28" s="646">
        <f>'F1b Budget Aktuell'!$J25</f>
        <v>0</v>
      </c>
      <c r="X28" s="867">
        <f>'F1c Budget Neu'!$J25</f>
        <v>0</v>
      </c>
      <c r="Y28" s="648">
        <f>IF('F0a Konfiguration'!$C$26='F2 Weiterführung ER'!W$7,'F0b Planungsparameter'!$I$60,0)</f>
        <v>0</v>
      </c>
      <c r="Z28" s="649">
        <f>IF('F0a Konfiguration'!$C$26='F2 Weiterführung ER'!W$7,'F0b Planungsparameter'!$J$60,0)</f>
        <v>0</v>
      </c>
      <c r="AA28" s="649">
        <f>IF('F0a Konfiguration'!$C$26='F2 Weiterführung ER'!W$7,'F0b Planungsparameter'!$K$60,0)</f>
        <v>0</v>
      </c>
      <c r="AB28" s="649">
        <f>IF('F0a Konfiguration'!$C$26='F2 Weiterführung ER'!W$7,'F0b Planungsparameter'!$L$60,0)</f>
        <v>0</v>
      </c>
      <c r="AC28" s="595">
        <f>IF('F0a Konfiguration'!$C$26='F2 Weiterführung ER'!W$7,'F0b Planungsparameter'!$M$60,0)</f>
        <v>0</v>
      </c>
      <c r="AD28" s="1195"/>
      <c r="AE28" s="646">
        <f>'F1b Budget Aktuell'!$K25</f>
        <v>0</v>
      </c>
      <c r="AF28" s="867">
        <f>'F1c Budget Neu'!$K25</f>
        <v>0</v>
      </c>
      <c r="AG28" s="648">
        <f>IF('F0a Konfiguration'!$C$26='F2 Weiterführung ER'!AE$7,'F0b Planungsparameter'!$I$60,0)</f>
        <v>0</v>
      </c>
      <c r="AH28" s="649">
        <f>IF('F0a Konfiguration'!$C$26='F2 Weiterführung ER'!AE$7,'F0b Planungsparameter'!$J$60,0)</f>
        <v>0</v>
      </c>
      <c r="AI28" s="649">
        <f>IF('F0a Konfiguration'!$C$26='F2 Weiterführung ER'!AE$7,'F0b Planungsparameter'!$K$60,0)</f>
        <v>0</v>
      </c>
      <c r="AJ28" s="649">
        <f>IF('F0a Konfiguration'!$C$26='F2 Weiterführung ER'!AE$7,'F0b Planungsparameter'!$L$60,0)</f>
        <v>0</v>
      </c>
      <c r="AK28" s="595">
        <f>IF('F0a Konfiguration'!$C$26='F2 Weiterführung ER'!AE$7,'F0b Planungsparameter'!$M$60,0)</f>
        <v>0</v>
      </c>
      <c r="AL28" s="1195"/>
      <c r="AM28" s="646">
        <f>'F1b Budget Aktuell'!$L25</f>
        <v>0</v>
      </c>
      <c r="AN28" s="867">
        <f>'F1c Budget Neu'!$L25</f>
        <v>0</v>
      </c>
      <c r="AO28" s="648">
        <f>IF('F0a Konfiguration'!$C$26='F2 Weiterführung ER'!AM$7,'F0b Planungsparameter'!$I$60,0)</f>
        <v>0</v>
      </c>
      <c r="AP28" s="649">
        <f>IF('F0a Konfiguration'!$C$26='F2 Weiterführung ER'!AM$7,'F0b Planungsparameter'!$J$60,0)</f>
        <v>0</v>
      </c>
      <c r="AQ28" s="649">
        <f>IF('F0a Konfiguration'!$C$26='F2 Weiterführung ER'!AM$7,'F0b Planungsparameter'!$K$60,0)</f>
        <v>0</v>
      </c>
      <c r="AR28" s="649">
        <f>IF('F0a Konfiguration'!$C$26='F2 Weiterführung ER'!AM$7,'F0b Planungsparameter'!$L$60,0)</f>
        <v>0</v>
      </c>
      <c r="AS28" s="595">
        <f>IF('F0a Konfiguration'!$C$26='F2 Weiterführung ER'!AM$7,'F0b Planungsparameter'!$M$60,0)</f>
        <v>0</v>
      </c>
      <c r="AT28" s="1195"/>
      <c r="AU28" s="646">
        <f>'F1b Budget Aktuell'!$M25</f>
        <v>0</v>
      </c>
      <c r="AV28" s="867">
        <f>'F1c Budget Neu'!$M25</f>
        <v>0</v>
      </c>
      <c r="AW28" s="648">
        <f>IF('F0a Konfiguration'!$C$26='F2 Weiterführung ER'!AU$7,'F0b Planungsparameter'!$I$60,0)</f>
        <v>0</v>
      </c>
      <c r="AX28" s="649">
        <f>IF('F0a Konfiguration'!$C$26='F2 Weiterführung ER'!AU$7,'F0b Planungsparameter'!$J$60,0)</f>
        <v>0</v>
      </c>
      <c r="AY28" s="649">
        <f>IF('F0a Konfiguration'!$C$26='F2 Weiterführung ER'!AU$7,'F0b Planungsparameter'!$K$60,0)</f>
        <v>0</v>
      </c>
      <c r="AZ28" s="649">
        <f>IF('F0a Konfiguration'!$C$26='F2 Weiterführung ER'!AU$7,'F0b Planungsparameter'!$L$60,0)</f>
        <v>0</v>
      </c>
      <c r="BA28" s="595">
        <f>IF('F0a Konfiguration'!$C$26='F2 Weiterführung ER'!AU$7,'F0b Planungsparameter'!$M$60,0)</f>
        <v>0</v>
      </c>
      <c r="BB28" s="1195"/>
      <c r="BC28" s="646">
        <f>'F1b Budget Aktuell'!$N25</f>
        <v>55</v>
      </c>
      <c r="BD28" s="867">
        <f>'F1c Budget Neu'!$N25</f>
        <v>55</v>
      </c>
      <c r="BE28" s="648">
        <f>IF('F0a Konfiguration'!$C$26='F2 Weiterführung ER'!BC$7,'F0b Planungsparameter'!$I$60,0)</f>
        <v>55</v>
      </c>
      <c r="BF28" s="649">
        <f>IF('F0a Konfiguration'!$C$26='F2 Weiterführung ER'!BC$7,'F0b Planungsparameter'!$J$60,0)</f>
        <v>55</v>
      </c>
      <c r="BG28" s="649">
        <f>IF('F0a Konfiguration'!$C$26='F2 Weiterführung ER'!BC$7,'F0b Planungsparameter'!$K$60,0)</f>
        <v>55</v>
      </c>
      <c r="BH28" s="649">
        <f>IF('F0a Konfiguration'!$C$26='F2 Weiterführung ER'!BC$7,'F0b Planungsparameter'!$L$60,0)</f>
        <v>55</v>
      </c>
      <c r="BI28" s="595">
        <f>IF('F0a Konfiguration'!$C$26='F2 Weiterführung ER'!BC$7,'F0b Planungsparameter'!$M$60,0)</f>
        <v>0</v>
      </c>
      <c r="BJ28" s="1195"/>
      <c r="BK28" s="1195"/>
    </row>
    <row r="29" spans="2:64" s="660" customFormat="1" ht="11.1" customHeight="1">
      <c r="B29" s="661"/>
      <c r="C29" s="662">
        <v>366</v>
      </c>
      <c r="D29" s="663"/>
      <c r="E29" s="663" t="s">
        <v>320</v>
      </c>
      <c r="F29" s="1170"/>
      <c r="G29" s="646">
        <f>'F1b Budget Aktuell'!$G26</f>
        <v>0</v>
      </c>
      <c r="H29" s="867">
        <f>'F1c Budget Neu'!$G26</f>
        <v>64</v>
      </c>
      <c r="I29" s="867">
        <f>H29</f>
        <v>64</v>
      </c>
      <c r="J29" s="867">
        <f t="shared" ref="J29:M29" si="36">I29</f>
        <v>64</v>
      </c>
      <c r="K29" s="867">
        <f t="shared" si="36"/>
        <v>64</v>
      </c>
      <c r="L29" s="867">
        <f t="shared" si="36"/>
        <v>64</v>
      </c>
      <c r="M29" s="867">
        <f t="shared" si="36"/>
        <v>64</v>
      </c>
      <c r="N29" s="602" t="str">
        <f t="shared" si="7"/>
        <v/>
      </c>
      <c r="O29" s="646">
        <f>'F1b Budget Aktuell'!$I26</f>
        <v>0</v>
      </c>
      <c r="P29" s="867">
        <f>'F1c Budget Neu'!$I26</f>
        <v>0</v>
      </c>
      <c r="Q29" s="867">
        <f>P29</f>
        <v>0</v>
      </c>
      <c r="R29" s="867">
        <f t="shared" ref="R29:U29" si="37">Q29</f>
        <v>0</v>
      </c>
      <c r="S29" s="867">
        <f t="shared" si="37"/>
        <v>0</v>
      </c>
      <c r="T29" s="867">
        <f t="shared" si="37"/>
        <v>0</v>
      </c>
      <c r="U29" s="867">
        <f t="shared" si="37"/>
        <v>0</v>
      </c>
      <c r="V29" s="665"/>
      <c r="W29" s="646">
        <f>'F1b Budget Aktuell'!$J26</f>
        <v>0</v>
      </c>
      <c r="X29" s="867">
        <f>'F1c Budget Neu'!$J26</f>
        <v>0</v>
      </c>
      <c r="Y29" s="867">
        <f>X29</f>
        <v>0</v>
      </c>
      <c r="Z29" s="867">
        <f t="shared" ref="Z29:AC29" si="38">Y29</f>
        <v>0</v>
      </c>
      <c r="AA29" s="867">
        <f t="shared" si="38"/>
        <v>0</v>
      </c>
      <c r="AB29" s="867">
        <f t="shared" si="38"/>
        <v>0</v>
      </c>
      <c r="AC29" s="867">
        <f t="shared" si="38"/>
        <v>0</v>
      </c>
      <c r="AD29" s="665"/>
      <c r="AE29" s="646">
        <f>'F1b Budget Aktuell'!$K26</f>
        <v>0</v>
      </c>
      <c r="AF29" s="867">
        <f>'F1c Budget Neu'!$K26</f>
        <v>0</v>
      </c>
      <c r="AG29" s="867">
        <f>AF29</f>
        <v>0</v>
      </c>
      <c r="AH29" s="867">
        <f t="shared" ref="AH29:AK29" si="39">AG29</f>
        <v>0</v>
      </c>
      <c r="AI29" s="867">
        <f t="shared" si="39"/>
        <v>0</v>
      </c>
      <c r="AJ29" s="867">
        <f t="shared" si="39"/>
        <v>0</v>
      </c>
      <c r="AK29" s="867">
        <f t="shared" si="39"/>
        <v>0</v>
      </c>
      <c r="AL29" s="665"/>
      <c r="AM29" s="646">
        <f>'F1b Budget Aktuell'!$L26</f>
        <v>0</v>
      </c>
      <c r="AN29" s="867">
        <f>'F1c Budget Neu'!$L26</f>
        <v>0</v>
      </c>
      <c r="AO29" s="867">
        <f>AN29</f>
        <v>0</v>
      </c>
      <c r="AP29" s="867">
        <f t="shared" ref="AP29:AS29" si="40">AO29</f>
        <v>0</v>
      </c>
      <c r="AQ29" s="867">
        <f t="shared" si="40"/>
        <v>0</v>
      </c>
      <c r="AR29" s="867">
        <f t="shared" si="40"/>
        <v>0</v>
      </c>
      <c r="AS29" s="867">
        <f t="shared" si="40"/>
        <v>0</v>
      </c>
      <c r="AT29" s="665"/>
      <c r="AU29" s="646">
        <f>'F1b Budget Aktuell'!$M26</f>
        <v>0</v>
      </c>
      <c r="AV29" s="867">
        <f>'F1c Budget Neu'!$M26</f>
        <v>64</v>
      </c>
      <c r="AW29" s="867">
        <f>AV29</f>
        <v>64</v>
      </c>
      <c r="AX29" s="867">
        <f t="shared" ref="AX29:BA29" si="41">AW29</f>
        <v>64</v>
      </c>
      <c r="AY29" s="867">
        <f t="shared" si="41"/>
        <v>64</v>
      </c>
      <c r="AZ29" s="867">
        <f t="shared" si="41"/>
        <v>64</v>
      </c>
      <c r="BA29" s="867">
        <f t="shared" si="41"/>
        <v>64</v>
      </c>
      <c r="BB29" s="665"/>
      <c r="BC29" s="646">
        <f>'F1b Budget Aktuell'!$N26</f>
        <v>0</v>
      </c>
      <c r="BD29" s="867">
        <f>'F1c Budget Neu'!$N26</f>
        <v>0</v>
      </c>
      <c r="BE29" s="867">
        <f>BD29</f>
        <v>0</v>
      </c>
      <c r="BF29" s="867">
        <f t="shared" ref="BF29:BI29" si="42">BE29</f>
        <v>0</v>
      </c>
      <c r="BG29" s="867">
        <f t="shared" si="42"/>
        <v>0</v>
      </c>
      <c r="BH29" s="867">
        <f t="shared" si="42"/>
        <v>0</v>
      </c>
      <c r="BI29" s="867">
        <f t="shared" si="42"/>
        <v>0</v>
      </c>
      <c r="BJ29" s="665"/>
      <c r="BK29" s="665"/>
      <c r="BL29" s="665"/>
    </row>
    <row r="30" spans="2:64" ht="11.1" customHeight="1">
      <c r="B30" s="374">
        <v>37</v>
      </c>
      <c r="C30" s="383"/>
      <c r="D30" s="1412" t="s">
        <v>25</v>
      </c>
      <c r="E30" s="1412"/>
      <c r="F30" s="1413"/>
      <c r="G30" s="420">
        <f>'F1b Budget Aktuell'!G27</f>
        <v>0</v>
      </c>
      <c r="H30" s="423">
        <f>'F1c Budget Neu'!G27</f>
        <v>0</v>
      </c>
      <c r="I30" s="422">
        <f>H30</f>
        <v>0</v>
      </c>
      <c r="J30" s="423">
        <f t="shared" ref="J30:M30" si="43">I30</f>
        <v>0</v>
      </c>
      <c r="K30" s="423">
        <f t="shared" si="43"/>
        <v>0</v>
      </c>
      <c r="L30" s="423">
        <f t="shared" si="43"/>
        <v>0</v>
      </c>
      <c r="M30" s="423">
        <f t="shared" si="43"/>
        <v>0</v>
      </c>
      <c r="N30" s="602" t="str">
        <f t="shared" si="7"/>
        <v/>
      </c>
      <c r="O30" s="420">
        <f>'F1b Budget Aktuell'!$I27</f>
        <v>0</v>
      </c>
      <c r="P30" s="423">
        <f>'F1c Budget Neu'!$I27</f>
        <v>0</v>
      </c>
      <c r="Q30" s="422">
        <f>P30</f>
        <v>0</v>
      </c>
      <c r="R30" s="423">
        <f t="shared" ref="R30:U30" si="44">Q30</f>
        <v>0</v>
      </c>
      <c r="S30" s="423">
        <f t="shared" si="44"/>
        <v>0</v>
      </c>
      <c r="T30" s="423">
        <f t="shared" si="44"/>
        <v>0</v>
      </c>
      <c r="U30" s="423">
        <f t="shared" si="44"/>
        <v>0</v>
      </c>
      <c r="W30" s="420">
        <f>'F1b Budget Aktuell'!$J27</f>
        <v>0</v>
      </c>
      <c r="X30" s="423">
        <f>'F1c Budget Neu'!$J27</f>
        <v>0</v>
      </c>
      <c r="Y30" s="422">
        <f>X30</f>
        <v>0</v>
      </c>
      <c r="Z30" s="423">
        <f t="shared" ref="Z30:AC30" si="45">Y30</f>
        <v>0</v>
      </c>
      <c r="AA30" s="423">
        <f t="shared" si="45"/>
        <v>0</v>
      </c>
      <c r="AB30" s="423">
        <f t="shared" si="45"/>
        <v>0</v>
      </c>
      <c r="AC30" s="423">
        <f t="shared" si="45"/>
        <v>0</v>
      </c>
      <c r="AE30" s="420">
        <f>'F1b Budget Aktuell'!$K27</f>
        <v>0</v>
      </c>
      <c r="AF30" s="423">
        <f>'F1c Budget Neu'!$K27</f>
        <v>0</v>
      </c>
      <c r="AG30" s="422">
        <f>AF30</f>
        <v>0</v>
      </c>
      <c r="AH30" s="423">
        <f t="shared" ref="AH30:AK30" si="46">AG30</f>
        <v>0</v>
      </c>
      <c r="AI30" s="423">
        <f t="shared" si="46"/>
        <v>0</v>
      </c>
      <c r="AJ30" s="423">
        <f t="shared" si="46"/>
        <v>0</v>
      </c>
      <c r="AK30" s="423">
        <f t="shared" si="46"/>
        <v>0</v>
      </c>
      <c r="AM30" s="420">
        <f>'F1b Budget Aktuell'!$L27</f>
        <v>0</v>
      </c>
      <c r="AN30" s="423">
        <f>'F1c Budget Neu'!$L27</f>
        <v>0</v>
      </c>
      <c r="AO30" s="422">
        <f>AN30</f>
        <v>0</v>
      </c>
      <c r="AP30" s="423">
        <f t="shared" ref="AP30:AS30" si="47">AO30</f>
        <v>0</v>
      </c>
      <c r="AQ30" s="423">
        <f t="shared" si="47"/>
        <v>0</v>
      </c>
      <c r="AR30" s="423">
        <f t="shared" si="47"/>
        <v>0</v>
      </c>
      <c r="AS30" s="423">
        <f t="shared" si="47"/>
        <v>0</v>
      </c>
      <c r="AU30" s="420">
        <f>'F1b Budget Aktuell'!$M27</f>
        <v>0</v>
      </c>
      <c r="AV30" s="423">
        <f>'F1c Budget Neu'!$M27</f>
        <v>0</v>
      </c>
      <c r="AW30" s="422">
        <f>AV30</f>
        <v>0</v>
      </c>
      <c r="AX30" s="423">
        <f t="shared" ref="AX30" si="48">AW30</f>
        <v>0</v>
      </c>
      <c r="AY30" s="423">
        <f t="shared" ref="AY30" si="49">AX30</f>
        <v>0</v>
      </c>
      <c r="AZ30" s="423">
        <f t="shared" ref="AZ30" si="50">AY30</f>
        <v>0</v>
      </c>
      <c r="BA30" s="423">
        <f t="shared" ref="BA30" si="51">AZ30</f>
        <v>0</v>
      </c>
      <c r="BC30" s="420">
        <f>'F1b Budget Aktuell'!$N27</f>
        <v>0</v>
      </c>
      <c r="BD30" s="423">
        <f>'F1c Budget Neu'!$N27</f>
        <v>0</v>
      </c>
      <c r="BE30" s="422">
        <f>BD30</f>
        <v>0</v>
      </c>
      <c r="BF30" s="423">
        <f>BE30</f>
        <v>0</v>
      </c>
      <c r="BG30" s="423">
        <f>BF30</f>
        <v>0</v>
      </c>
      <c r="BH30" s="423">
        <f t="shared" ref="BH30" si="52">BG30</f>
        <v>0</v>
      </c>
      <c r="BI30" s="423">
        <f t="shared" ref="BI30" si="53">BH30</f>
        <v>0</v>
      </c>
    </row>
    <row r="31" spans="2:64" ht="11.1" customHeight="1">
      <c r="B31" s="374">
        <v>38</v>
      </c>
      <c r="C31" s="383"/>
      <c r="D31" s="1412" t="s">
        <v>89</v>
      </c>
      <c r="E31" s="1412"/>
      <c r="F31" s="1413"/>
      <c r="G31" s="420">
        <f>'F1b Budget Aktuell'!G28</f>
        <v>0</v>
      </c>
      <c r="H31" s="423">
        <f>'F1c Budget Neu'!G28</f>
        <v>0</v>
      </c>
      <c r="I31" s="659"/>
      <c r="J31" s="423"/>
      <c r="K31" s="423"/>
      <c r="L31" s="423"/>
      <c r="M31" s="423"/>
      <c r="N31" s="602" t="str">
        <f t="shared" si="7"/>
        <v/>
      </c>
      <c r="O31" s="420">
        <f>'F1b Budget Aktuell'!$I28</f>
        <v>0</v>
      </c>
      <c r="P31" s="423">
        <f>'F1c Budget Neu'!$I28</f>
        <v>0</v>
      </c>
      <c r="Q31" s="659"/>
      <c r="R31" s="423"/>
      <c r="S31" s="423"/>
      <c r="T31" s="423"/>
      <c r="U31" s="423"/>
      <c r="W31" s="420">
        <f>'F1b Budget Aktuell'!$J28</f>
        <v>0</v>
      </c>
      <c r="X31" s="423">
        <f>'F1c Budget Neu'!$J28</f>
        <v>0</v>
      </c>
      <c r="Y31" s="659"/>
      <c r="Z31" s="423"/>
      <c r="AA31" s="423"/>
      <c r="AB31" s="423"/>
      <c r="AC31" s="423"/>
      <c r="AE31" s="420">
        <f>'F1b Budget Aktuell'!$K28</f>
        <v>0</v>
      </c>
      <c r="AF31" s="423">
        <f>'F1c Budget Neu'!$K28</f>
        <v>0</v>
      </c>
      <c r="AG31" s="659"/>
      <c r="AH31" s="423"/>
      <c r="AI31" s="423"/>
      <c r="AJ31" s="423"/>
      <c r="AK31" s="423"/>
      <c r="AM31" s="420">
        <f>'F1b Budget Aktuell'!$L28</f>
        <v>0</v>
      </c>
      <c r="AN31" s="423">
        <f>'F1c Budget Neu'!$L28</f>
        <v>0</v>
      </c>
      <c r="AO31" s="659"/>
      <c r="AP31" s="423"/>
      <c r="AQ31" s="423"/>
      <c r="AR31" s="423"/>
      <c r="AS31" s="423"/>
      <c r="AU31" s="420">
        <f>'F1b Budget Aktuell'!$M28</f>
        <v>0</v>
      </c>
      <c r="AV31" s="423">
        <f>'F1c Budget Neu'!$M28</f>
        <v>0</v>
      </c>
      <c r="AW31" s="659"/>
      <c r="AX31" s="423"/>
      <c r="AY31" s="423"/>
      <c r="AZ31" s="423"/>
      <c r="BA31" s="423"/>
      <c r="BC31" s="420">
        <f>'F1b Budget Aktuell'!$N28</f>
        <v>0</v>
      </c>
      <c r="BD31" s="423">
        <f>'F1c Budget Neu'!$N28</f>
        <v>0</v>
      </c>
      <c r="BE31" s="659"/>
      <c r="BF31" s="423"/>
      <c r="BG31" s="423"/>
      <c r="BH31" s="423"/>
      <c r="BI31" s="423"/>
    </row>
    <row r="32" spans="2:64" ht="11.1" customHeight="1">
      <c r="B32" s="374">
        <v>39</v>
      </c>
      <c r="C32" s="383"/>
      <c r="D32" s="1412" t="s">
        <v>175</v>
      </c>
      <c r="E32" s="1412"/>
      <c r="F32" s="1413"/>
      <c r="G32" s="420">
        <f>'F1b Budget Aktuell'!G29</f>
        <v>2743</v>
      </c>
      <c r="H32" s="423">
        <f>'F1c Budget Neu'!G29</f>
        <v>3026</v>
      </c>
      <c r="I32" s="422">
        <f>(H32-H33)*(1+'F0b Planungsparameter'!$I25)+I33</f>
        <v>3041.1299999999997</v>
      </c>
      <c r="J32" s="420">
        <f>(I32-I33)*(1+'F0b Planungsparameter'!$J25)+J33</f>
        <v>3041.1299999999997</v>
      </c>
      <c r="K32" s="420">
        <f>(J32-J33)*(1+'F0b Planungsparameter'!$K25)+K33</f>
        <v>3056.3356499999995</v>
      </c>
      <c r="L32" s="420">
        <f>(K32-K33)*(1+'F0b Planungsparameter'!$L25)+L33</f>
        <v>3056.3356499999995</v>
      </c>
      <c r="M32" s="423">
        <f>(L32-L33)*(1+'F0b Planungsparameter'!$M25)+M33</f>
        <v>3071.617328249999</v>
      </c>
      <c r="N32" s="602" t="str">
        <f t="shared" si="7"/>
        <v/>
      </c>
      <c r="O32" s="420">
        <f>'F1b Budget Aktuell'!$I29</f>
        <v>267</v>
      </c>
      <c r="P32" s="423">
        <f>'F1c Budget Neu'!$I29</f>
        <v>298</v>
      </c>
      <c r="Q32" s="422">
        <f>(P32-P33)*(1+'F0b Planungsparameter'!$I25)+Q33</f>
        <v>299.48999999999995</v>
      </c>
      <c r="R32" s="423">
        <f>(Q32-Q33)*(1+'F0b Planungsparameter'!$J25)+R33</f>
        <v>299.48999999999995</v>
      </c>
      <c r="S32" s="423">
        <f>(R32-R33)*(1+'F0b Planungsparameter'!$K25)+S33</f>
        <v>300.98744999999991</v>
      </c>
      <c r="T32" s="423">
        <f>(S32-S33)*(1+'F0b Planungsparameter'!$L25)+T33</f>
        <v>300.98744999999991</v>
      </c>
      <c r="U32" s="423">
        <f>(T32-T33)*(1+'F0b Planungsparameter'!$M25)+U33</f>
        <v>302.49238724999987</v>
      </c>
      <c r="W32" s="420">
        <f>'F1b Budget Aktuell'!$J29</f>
        <v>1733</v>
      </c>
      <c r="X32" s="423">
        <f>'F1c Budget Neu'!$J29</f>
        <v>1906</v>
      </c>
      <c r="Y32" s="422">
        <f>(X32-X33)*(1+'F0b Planungsparameter'!$I25)+Y33</f>
        <v>1915.5299999999997</v>
      </c>
      <c r="Z32" s="423">
        <f>(Y32-Y33)*(1+'F0b Planungsparameter'!$J25)+Z33</f>
        <v>1915.5299999999997</v>
      </c>
      <c r="AA32" s="423">
        <f>(Z32-Z33)*(1+'F0b Planungsparameter'!$K25)+AA33</f>
        <v>1925.1076499999995</v>
      </c>
      <c r="AB32" s="423">
        <f>(AA32-AA33)*(1+'F0b Planungsparameter'!$L25)+AB33</f>
        <v>1925.1076499999995</v>
      </c>
      <c r="AC32" s="423">
        <f>(AB32-AB33)*(1+'F0b Planungsparameter'!$M25)+AC33</f>
        <v>1934.7331882499993</v>
      </c>
      <c r="AE32" s="420">
        <f>'F1b Budget Aktuell'!$K29</f>
        <v>269</v>
      </c>
      <c r="AF32" s="423">
        <f>'F1c Budget Neu'!$K29</f>
        <v>315</v>
      </c>
      <c r="AG32" s="422">
        <f>(AF32-AF33)*(1+'F0b Planungsparameter'!$I25)+AG33</f>
        <v>316.57499999999999</v>
      </c>
      <c r="AH32" s="423">
        <f>(AG32-AG33)*(1+'F0b Planungsparameter'!$J25)+AH33</f>
        <v>316.57499999999999</v>
      </c>
      <c r="AI32" s="423">
        <f>(AH32-AH33)*(1+'F0b Planungsparameter'!$K25)+AI33</f>
        <v>318.15787499999993</v>
      </c>
      <c r="AJ32" s="423">
        <f>(AI32-AI33)*(1+'F0b Planungsparameter'!$L25)+AJ33</f>
        <v>318.15787499999993</v>
      </c>
      <c r="AK32" s="423">
        <f>(AJ32-AJ33)*(1+'F0b Planungsparameter'!$M25)+AK33</f>
        <v>319.74866437499992</v>
      </c>
      <c r="AM32" s="420">
        <f>'F1b Budget Aktuell'!$L29</f>
        <v>73</v>
      </c>
      <c r="AN32" s="423">
        <f>'F1c Budget Neu'!$L29</f>
        <v>74</v>
      </c>
      <c r="AO32" s="422">
        <f>(AN32-AN33)*(1+'F0b Planungsparameter'!$I25)+AO33</f>
        <v>74.36999999999999</v>
      </c>
      <c r="AP32" s="423">
        <f>(AO32-AO33)*(1+'F0b Planungsparameter'!$J25)+AP33</f>
        <v>74.36999999999999</v>
      </c>
      <c r="AQ32" s="423">
        <f>(AP32-AP33)*(1+'F0b Planungsparameter'!$K25)+AQ33</f>
        <v>74.741849999999985</v>
      </c>
      <c r="AR32" s="423">
        <f>(AQ32-AQ33)*(1+'F0b Planungsparameter'!$L25)+AR33</f>
        <v>74.741849999999985</v>
      </c>
      <c r="AS32" s="423">
        <f>(AR32-AR33)*(1+'F0b Planungsparameter'!$M25)+AS33</f>
        <v>75.115559249999976</v>
      </c>
      <c r="AU32" s="420">
        <f>'F1b Budget Aktuell'!$M29</f>
        <v>299</v>
      </c>
      <c r="AV32" s="423">
        <f>'F1c Budget Neu'!$M29</f>
        <v>321</v>
      </c>
      <c r="AW32" s="422">
        <f>(AV32-AV33)*(1+'F0b Planungsparameter'!$I25)+AW33</f>
        <v>322.60499999999996</v>
      </c>
      <c r="AX32" s="423">
        <f>(AW32-AW33)*(1+'F0b Planungsparameter'!$J25)+AX33</f>
        <v>322.60499999999996</v>
      </c>
      <c r="AY32" s="423">
        <f>(AX32-AX33)*(1+'F0b Planungsparameter'!$K25)+AY33</f>
        <v>324.21802499999995</v>
      </c>
      <c r="AZ32" s="423">
        <f>(AY32-AY33)*(1+'F0b Planungsparameter'!$L25)+AZ33</f>
        <v>324.21802499999995</v>
      </c>
      <c r="BA32" s="423">
        <f>(AZ32-AZ33)*(1+'F0b Planungsparameter'!$M25)+BA33</f>
        <v>325.83911512499992</v>
      </c>
      <c r="BC32" s="420">
        <f>'F1b Budget Aktuell'!$N29</f>
        <v>102</v>
      </c>
      <c r="BD32" s="423">
        <f>'F1c Budget Neu'!$N29</f>
        <v>112</v>
      </c>
      <c r="BE32" s="422">
        <f>(BD32-BD33)*(1+'F0b Planungsparameter'!$I25)+BE33</f>
        <v>112.55999999999999</v>
      </c>
      <c r="BF32" s="423">
        <f>(BE32-BE33)*(1+'F0b Planungsparameter'!$J25)+BF33</f>
        <v>112.55999999999999</v>
      </c>
      <c r="BG32" s="423">
        <f>(BF32-BF33)*(1+'F0b Planungsparameter'!$K25)+BG33</f>
        <v>113.12279999999997</v>
      </c>
      <c r="BH32" s="423">
        <f>(BG32-BG33)*(1+'F0b Planungsparameter'!$L25)+BH33</f>
        <v>113.12279999999997</v>
      </c>
      <c r="BI32" s="423">
        <f>(BH32-BH33)*(1+'F0b Planungsparameter'!$M25)+BI33</f>
        <v>113.68841399999995</v>
      </c>
    </row>
    <row r="33" spans="2:71" s="644" customFormat="1" ht="11.1" customHeight="1">
      <c r="B33" s="655"/>
      <c r="C33" s="656">
        <v>394</v>
      </c>
      <c r="D33" s="657"/>
      <c r="E33" s="1430" t="s">
        <v>132</v>
      </c>
      <c r="F33" s="1431"/>
      <c r="G33" s="652">
        <f>'F1b Budget Aktuell'!G30</f>
        <v>497</v>
      </c>
      <c r="H33" s="868">
        <f>'F1c Budget Neu'!G30</f>
        <v>0</v>
      </c>
      <c r="I33" s="866">
        <f>H33</f>
        <v>0</v>
      </c>
      <c r="J33" s="654">
        <f t="shared" ref="J33:M33" si="54">I33</f>
        <v>0</v>
      </c>
      <c r="K33" s="654">
        <f t="shared" si="54"/>
        <v>0</v>
      </c>
      <c r="L33" s="654">
        <f>K33</f>
        <v>0</v>
      </c>
      <c r="M33" s="654">
        <f t="shared" si="54"/>
        <v>0</v>
      </c>
      <c r="N33" s="602" t="str">
        <f t="shared" si="7"/>
        <v/>
      </c>
      <c r="O33" s="652">
        <f>'F1b Budget Aktuell'!$I30</f>
        <v>22</v>
      </c>
      <c r="P33" s="868">
        <f>'F1c Budget Neu'!$I30</f>
        <v>0</v>
      </c>
      <c r="Q33" s="866">
        <f>P33</f>
        <v>0</v>
      </c>
      <c r="R33" s="654">
        <f t="shared" ref="R33:U33" si="55">Q33</f>
        <v>0</v>
      </c>
      <c r="S33" s="654">
        <f t="shared" si="55"/>
        <v>0</v>
      </c>
      <c r="T33" s="654">
        <f t="shared" si="55"/>
        <v>0</v>
      </c>
      <c r="U33" s="654">
        <f t="shared" si="55"/>
        <v>0</v>
      </c>
      <c r="W33" s="652">
        <f>'F1b Budget Aktuell'!$J30</f>
        <v>164</v>
      </c>
      <c r="X33" s="868">
        <f>'F1c Budget Neu'!$J30</f>
        <v>0</v>
      </c>
      <c r="Y33" s="866">
        <f>X33</f>
        <v>0</v>
      </c>
      <c r="Z33" s="654">
        <f t="shared" ref="Z33:AC33" si="56">Y33</f>
        <v>0</v>
      </c>
      <c r="AA33" s="654">
        <f t="shared" si="56"/>
        <v>0</v>
      </c>
      <c r="AB33" s="654">
        <f t="shared" si="56"/>
        <v>0</v>
      </c>
      <c r="AC33" s="654">
        <f t="shared" si="56"/>
        <v>0</v>
      </c>
      <c r="AE33" s="652">
        <f>'F1b Budget Aktuell'!$K30</f>
        <v>35</v>
      </c>
      <c r="AF33" s="868">
        <f>'F1c Budget Neu'!$K30</f>
        <v>0</v>
      </c>
      <c r="AG33" s="866">
        <f>AF33</f>
        <v>0</v>
      </c>
      <c r="AH33" s="654">
        <f t="shared" ref="AH33:AK33" si="57">AG33</f>
        <v>0</v>
      </c>
      <c r="AI33" s="654">
        <f t="shared" si="57"/>
        <v>0</v>
      </c>
      <c r="AJ33" s="654">
        <f t="shared" si="57"/>
        <v>0</v>
      </c>
      <c r="AK33" s="654">
        <f t="shared" si="57"/>
        <v>0</v>
      </c>
      <c r="AM33" s="652">
        <f>'F1b Budget Aktuell'!$L30</f>
        <v>12</v>
      </c>
      <c r="AN33" s="868">
        <f>'F1c Budget Neu'!$L30</f>
        <v>0</v>
      </c>
      <c r="AO33" s="866">
        <f>AN33</f>
        <v>0</v>
      </c>
      <c r="AP33" s="654">
        <f t="shared" ref="AP33:AS33" si="58">AO33</f>
        <v>0</v>
      </c>
      <c r="AQ33" s="654">
        <f t="shared" si="58"/>
        <v>0</v>
      </c>
      <c r="AR33" s="654">
        <f t="shared" si="58"/>
        <v>0</v>
      </c>
      <c r="AS33" s="654">
        <f t="shared" si="58"/>
        <v>0</v>
      </c>
      <c r="AU33" s="652">
        <f>'F1b Budget Aktuell'!$M30</f>
        <v>178</v>
      </c>
      <c r="AV33" s="868">
        <f>'F1c Budget Neu'!$M30</f>
        <v>0</v>
      </c>
      <c r="AW33" s="866">
        <f>AV33</f>
        <v>0</v>
      </c>
      <c r="AX33" s="654">
        <f t="shared" ref="AX33" si="59">AW33</f>
        <v>0</v>
      </c>
      <c r="AY33" s="654">
        <f t="shared" ref="AY33" si="60">AX33</f>
        <v>0</v>
      </c>
      <c r="AZ33" s="654">
        <f t="shared" ref="AZ33" si="61">AY33</f>
        <v>0</v>
      </c>
      <c r="BA33" s="654">
        <f t="shared" ref="BA33" si="62">AZ33</f>
        <v>0</v>
      </c>
      <c r="BC33" s="652">
        <f>'F1b Budget Aktuell'!$N30</f>
        <v>86</v>
      </c>
      <c r="BD33" s="868">
        <f>'F1c Budget Neu'!$N30</f>
        <v>0</v>
      </c>
      <c r="BE33" s="866">
        <f>BD33</f>
        <v>0</v>
      </c>
      <c r="BF33" s="654">
        <f t="shared" ref="BF33" si="63">BE33</f>
        <v>0</v>
      </c>
      <c r="BG33" s="654">
        <f t="shared" ref="BG33" si="64">BF33</f>
        <v>0</v>
      </c>
      <c r="BH33" s="654">
        <f t="shared" ref="BH33" si="65">BG33</f>
        <v>0</v>
      </c>
      <c r="BI33" s="654">
        <f t="shared" ref="BI33" si="66">BH33</f>
        <v>0</v>
      </c>
    </row>
    <row r="34" spans="2:71" ht="11.1" customHeight="1">
      <c r="B34" s="425"/>
      <c r="C34" s="768"/>
      <c r="D34" s="291"/>
      <c r="E34" s="426"/>
      <c r="F34" s="426"/>
      <c r="G34" s="422"/>
      <c r="H34" s="422"/>
      <c r="I34" s="422"/>
      <c r="J34" s="422"/>
      <c r="K34" s="422"/>
      <c r="L34" s="422"/>
      <c r="M34" s="422"/>
      <c r="N34" s="379"/>
      <c r="O34" s="379"/>
      <c r="P34" s="379"/>
      <c r="Q34" s="379"/>
      <c r="R34" s="379"/>
      <c r="S34" s="379"/>
      <c r="T34" s="379"/>
      <c r="U34" s="379"/>
      <c r="W34" s="379"/>
      <c r="X34" s="379"/>
      <c r="Y34" s="379"/>
      <c r="Z34" s="379"/>
      <c r="AA34" s="379"/>
      <c r="AB34" s="379"/>
      <c r="AC34" s="379"/>
      <c r="AE34" s="379"/>
      <c r="AF34" s="379"/>
      <c r="AG34" s="379"/>
      <c r="AH34" s="379"/>
      <c r="AI34" s="379"/>
      <c r="AJ34" s="379"/>
      <c r="AK34" s="379"/>
      <c r="AM34" s="379"/>
      <c r="AN34" s="379"/>
      <c r="AO34" s="379"/>
      <c r="AP34" s="379"/>
      <c r="AQ34" s="379"/>
      <c r="AR34" s="379"/>
      <c r="AS34" s="379"/>
      <c r="AU34" s="379"/>
      <c r="AV34" s="379"/>
      <c r="AW34" s="379"/>
      <c r="AX34" s="379"/>
      <c r="AY34" s="379"/>
      <c r="AZ34" s="379"/>
      <c r="BA34" s="379"/>
      <c r="BC34" s="379"/>
      <c r="BD34" s="379"/>
      <c r="BE34" s="379"/>
      <c r="BF34" s="379"/>
      <c r="BG34" s="379"/>
      <c r="BH34" s="379"/>
      <c r="BI34" s="379"/>
    </row>
    <row r="35" spans="2:71" ht="6" customHeight="1">
      <c r="B35" s="374"/>
      <c r="C35" s="383"/>
      <c r="D35" s="113"/>
      <c r="E35" s="427"/>
      <c r="F35" s="427"/>
      <c r="G35" s="855"/>
      <c r="H35" s="855"/>
      <c r="I35" s="856"/>
      <c r="J35" s="856"/>
      <c r="K35" s="856"/>
      <c r="L35" s="856"/>
      <c r="M35" s="856"/>
      <c r="N35" s="379"/>
      <c r="O35" s="391"/>
      <c r="P35" s="391"/>
      <c r="Q35" s="391"/>
      <c r="R35" s="391"/>
      <c r="S35" s="391"/>
      <c r="T35" s="391"/>
      <c r="U35" s="391"/>
      <c r="W35" s="391"/>
      <c r="X35" s="391"/>
      <c r="Y35" s="391"/>
      <c r="Z35" s="391"/>
      <c r="AA35" s="391"/>
      <c r="AB35" s="391"/>
      <c r="AC35" s="391"/>
      <c r="AE35" s="391"/>
      <c r="AF35" s="391"/>
      <c r="AG35" s="391"/>
      <c r="AH35" s="391"/>
      <c r="AI35" s="391"/>
      <c r="AJ35" s="391"/>
      <c r="AK35" s="391"/>
      <c r="AM35" s="391"/>
      <c r="AN35" s="391"/>
      <c r="AO35" s="391"/>
      <c r="AP35" s="391"/>
      <c r="AQ35" s="391"/>
      <c r="AR35" s="391"/>
      <c r="AS35" s="391"/>
      <c r="AU35" s="391"/>
      <c r="AV35" s="391"/>
      <c r="AW35" s="391"/>
      <c r="AX35" s="391"/>
      <c r="AY35" s="391"/>
      <c r="AZ35" s="391"/>
      <c r="BA35" s="391"/>
      <c r="BC35" s="391"/>
      <c r="BD35" s="391"/>
      <c r="BE35" s="391"/>
      <c r="BF35" s="391"/>
      <c r="BG35" s="391"/>
      <c r="BH35" s="391"/>
      <c r="BI35" s="391"/>
    </row>
    <row r="36" spans="2:71" ht="11.1" customHeight="1">
      <c r="B36" s="374">
        <v>4</v>
      </c>
      <c r="C36" s="383"/>
      <c r="D36" s="1406" t="s">
        <v>34</v>
      </c>
      <c r="E36" s="1432"/>
      <c r="F36" s="1433"/>
      <c r="G36" s="386">
        <f>SUM(G39:G46)+G50+G55+G57+G58+G60</f>
        <v>23975</v>
      </c>
      <c r="H36" s="384">
        <f t="shared" ref="H36:M36" si="67">SUM(H39:H46)+H50+H55+H57+H58+H60</f>
        <v>24755</v>
      </c>
      <c r="I36" s="433">
        <f t="shared" si="67"/>
        <v>24606.379999999994</v>
      </c>
      <c r="J36" s="386">
        <f>SUM(J39:J46)+J55+J57+J60</f>
        <v>24742.487549499998</v>
      </c>
      <c r="K36" s="386">
        <f>SUM(K39:K46)+K50+K55+K57+K58+K60</f>
        <v>24949.409974974897</v>
      </c>
      <c r="L36" s="386">
        <f t="shared" si="67"/>
        <v>25154.349401277119</v>
      </c>
      <c r="M36" s="384">
        <f t="shared" si="67"/>
        <v>25438.341433318037</v>
      </c>
      <c r="N36" s="602" t="str">
        <f>IF(SUM(G36:M36)=SUM(O36:YS36),"",SUM(O36:YS36)-SUM(G36:M36))</f>
        <v/>
      </c>
      <c r="O36" s="386">
        <f t="shared" ref="O36:U36" si="68">SUM(O39:O46)+O50+O55+O57+O58+O60</f>
        <v>710</v>
      </c>
      <c r="P36" s="415">
        <f t="shared" si="68"/>
        <v>743</v>
      </c>
      <c r="Q36" s="386">
        <f t="shared" si="68"/>
        <v>746.79</v>
      </c>
      <c r="R36" s="386">
        <f t="shared" si="68"/>
        <v>747.49549999999988</v>
      </c>
      <c r="S36" s="386">
        <f t="shared" si="68"/>
        <v>751.31199749999985</v>
      </c>
      <c r="T36" s="386">
        <f t="shared" si="68"/>
        <v>752.0286404374998</v>
      </c>
      <c r="U36" s="384">
        <f t="shared" si="68"/>
        <v>755.87190444168721</v>
      </c>
      <c r="V36" s="379"/>
      <c r="W36" s="386">
        <f t="shared" ref="W36:AC36" si="69">SUM(W39:W46)+W50+W55+W57+W58+W60</f>
        <v>4659</v>
      </c>
      <c r="X36" s="415">
        <f t="shared" si="69"/>
        <v>5035</v>
      </c>
      <c r="Y36" s="386">
        <f t="shared" si="69"/>
        <v>5060.57</v>
      </c>
      <c r="Z36" s="386">
        <f t="shared" si="69"/>
        <v>5076.9318749999993</v>
      </c>
      <c r="AA36" s="386">
        <f t="shared" si="69"/>
        <v>5102.7225893749983</v>
      </c>
      <c r="AB36" s="386">
        <f t="shared" si="69"/>
        <v>5119.2596854968733</v>
      </c>
      <c r="AC36" s="384">
        <f t="shared" si="69"/>
        <v>5145.2733161298574</v>
      </c>
      <c r="AD36" s="379"/>
      <c r="AE36" s="386">
        <f t="shared" ref="AE36:AK36" si="70">SUM(AE39:AE46)+AE50+AE55+AE57+AE58+AE60</f>
        <v>2</v>
      </c>
      <c r="AF36" s="415">
        <f t="shared" si="70"/>
        <v>4</v>
      </c>
      <c r="AG36" s="386">
        <f t="shared" si="70"/>
        <v>4.04</v>
      </c>
      <c r="AH36" s="386">
        <f t="shared" si="70"/>
        <v>4.0804</v>
      </c>
      <c r="AI36" s="386">
        <f t="shared" si="70"/>
        <v>4.1212039999999996</v>
      </c>
      <c r="AJ36" s="386">
        <f t="shared" si="70"/>
        <v>4.1624160400000001</v>
      </c>
      <c r="AK36" s="384">
        <f t="shared" si="70"/>
        <v>4.2040402003999997</v>
      </c>
      <c r="AL36" s="379"/>
      <c r="AM36" s="386">
        <f t="shared" ref="AM36:AS36" si="71">SUM(AM39:AM46)+AM50+AM55+AM57+AM58+AM60</f>
        <v>6142</v>
      </c>
      <c r="AN36" s="415">
        <f t="shared" si="71"/>
        <v>6295</v>
      </c>
      <c r="AO36" s="386">
        <f t="shared" si="71"/>
        <v>6351.3</v>
      </c>
      <c r="AP36" s="386">
        <f t="shared" si="71"/>
        <v>6408.0413250000011</v>
      </c>
      <c r="AQ36" s="386">
        <f t="shared" si="71"/>
        <v>6465.4196846250006</v>
      </c>
      <c r="AR36" s="386">
        <f t="shared" si="71"/>
        <v>6523.2494152031259</v>
      </c>
      <c r="AS36" s="384">
        <f t="shared" si="71"/>
        <v>6581.7272826544404</v>
      </c>
      <c r="AT36" s="379"/>
      <c r="AU36" s="386">
        <f t="shared" ref="AU36:BA36" si="72">SUM(AU39:AU46)+AU50+AU55+AU57+AU58+AU60</f>
        <v>1675</v>
      </c>
      <c r="AV36" s="415">
        <f t="shared" si="72"/>
        <v>1691</v>
      </c>
      <c r="AW36" s="386">
        <f t="shared" si="72"/>
        <v>1367.68</v>
      </c>
      <c r="AX36" s="386">
        <f t="shared" si="72"/>
        <v>1380.1661750000003</v>
      </c>
      <c r="AY36" s="386">
        <f t="shared" si="72"/>
        <v>1393.0912993750001</v>
      </c>
      <c r="AZ36" s="386">
        <f t="shared" si="72"/>
        <v>1405.8234344318751</v>
      </c>
      <c r="BA36" s="384">
        <f t="shared" si="72"/>
        <v>1418.9985364033844</v>
      </c>
      <c r="BB36" s="379"/>
      <c r="BC36" s="386">
        <f t="shared" ref="BC36:BI36" si="73">SUM(BC39:BC46)+BC50+BC55+BC57+BC58+BC60</f>
        <v>10787</v>
      </c>
      <c r="BD36" s="415">
        <f t="shared" si="73"/>
        <v>10987</v>
      </c>
      <c r="BE36" s="386">
        <f t="shared" si="73"/>
        <v>11076</v>
      </c>
      <c r="BF36" s="386">
        <f t="shared" si="73"/>
        <v>11125.772274499999</v>
      </c>
      <c r="BG36" s="386">
        <f t="shared" si="73"/>
        <v>11232.7432000999</v>
      </c>
      <c r="BH36" s="386">
        <f t="shared" si="73"/>
        <v>11349.825809667745</v>
      </c>
      <c r="BI36" s="384">
        <f t="shared" si="73"/>
        <v>11532.266353488263</v>
      </c>
      <c r="BJ36" s="379"/>
      <c r="BK36" s="379"/>
      <c r="BL36" s="379"/>
    </row>
    <row r="37" spans="2:71" ht="6" customHeight="1">
      <c r="B37" s="387"/>
      <c r="C37" s="428"/>
      <c r="D37" s="388"/>
      <c r="E37" s="85"/>
      <c r="F37" s="85"/>
      <c r="G37" s="422"/>
      <c r="H37" s="422"/>
      <c r="I37" s="422"/>
      <c r="J37" s="422"/>
      <c r="K37" s="422"/>
      <c r="L37" s="422"/>
      <c r="M37" s="422"/>
      <c r="N37" s="379"/>
      <c r="O37" s="379"/>
      <c r="P37" s="379"/>
      <c r="Q37" s="379"/>
      <c r="R37" s="379"/>
      <c r="S37" s="379"/>
      <c r="T37" s="379"/>
      <c r="U37" s="379"/>
      <c r="W37" s="379"/>
      <c r="X37" s="379"/>
      <c r="Y37" s="379"/>
      <c r="Z37" s="379"/>
      <c r="AA37" s="379"/>
      <c r="AB37" s="379"/>
      <c r="AC37" s="379"/>
      <c r="AE37" s="379"/>
      <c r="AF37" s="379"/>
      <c r="AG37" s="379"/>
      <c r="AH37" s="379"/>
      <c r="AI37" s="379"/>
      <c r="AJ37" s="379"/>
      <c r="AK37" s="379"/>
      <c r="AM37" s="379"/>
      <c r="AN37" s="379"/>
      <c r="AO37" s="379"/>
      <c r="AP37" s="379"/>
      <c r="AQ37" s="379"/>
      <c r="AR37" s="379"/>
      <c r="AS37" s="379"/>
      <c r="AU37" s="379"/>
      <c r="AV37" s="379"/>
      <c r="AW37" s="379"/>
      <c r="AX37" s="379"/>
      <c r="AY37" s="379"/>
      <c r="AZ37" s="379"/>
      <c r="BA37" s="379"/>
      <c r="BC37" s="379"/>
      <c r="BD37" s="379"/>
      <c r="BE37" s="379"/>
      <c r="BF37" s="379"/>
      <c r="BG37" s="379"/>
      <c r="BH37" s="379"/>
      <c r="BI37" s="379"/>
    </row>
    <row r="38" spans="2:71" ht="11.1" customHeight="1">
      <c r="B38" s="374">
        <v>40</v>
      </c>
      <c r="C38" s="383"/>
      <c r="D38" s="1412" t="s">
        <v>90</v>
      </c>
      <c r="E38" s="1412"/>
      <c r="F38" s="1413"/>
      <c r="G38" s="416">
        <f>SUM(G39:G42)</f>
        <v>7144</v>
      </c>
      <c r="H38" s="419">
        <f>SUM(H39:H42)</f>
        <v>7584</v>
      </c>
      <c r="I38" s="865">
        <f t="shared" ref="I38:M38" si="74">SUM(I39:I42)</f>
        <v>7793.3849999999993</v>
      </c>
      <c r="J38" s="419">
        <f t="shared" si="74"/>
        <v>7960.1020994999999</v>
      </c>
      <c r="K38" s="419">
        <f t="shared" si="74"/>
        <v>8144.3994237249008</v>
      </c>
      <c r="L38" s="419">
        <f t="shared" si="74"/>
        <v>8278.3656011558705</v>
      </c>
      <c r="M38" s="419">
        <f t="shared" si="74"/>
        <v>8498.0727348987803</v>
      </c>
      <c r="N38" s="602" t="str">
        <f t="shared" ref="N38:N46" si="75">IF(SUM(G38:M38)=SUM(O38:YS38),"",SUM(O38:YS38)-SUM(G38:M38))</f>
        <v/>
      </c>
      <c r="O38" s="416">
        <f>SUM(O39:O42)</f>
        <v>0</v>
      </c>
      <c r="P38" s="419">
        <f>SUM(P39:P42)</f>
        <v>0</v>
      </c>
      <c r="Q38" s="865">
        <f t="shared" ref="Q38:U38" si="76">SUM(Q39:Q42)</f>
        <v>0</v>
      </c>
      <c r="R38" s="419">
        <f t="shared" si="76"/>
        <v>0</v>
      </c>
      <c r="S38" s="419">
        <f t="shared" si="76"/>
        <v>0</v>
      </c>
      <c r="T38" s="419">
        <f t="shared" si="76"/>
        <v>0</v>
      </c>
      <c r="U38" s="419">
        <f t="shared" si="76"/>
        <v>0</v>
      </c>
      <c r="W38" s="416">
        <f>SUM(W39:W42)</f>
        <v>0</v>
      </c>
      <c r="X38" s="419">
        <f>SUM(X39:X42)</f>
        <v>0</v>
      </c>
      <c r="Y38" s="865">
        <f t="shared" ref="Y38:AC38" si="77">SUM(Y39:Y42)</f>
        <v>0</v>
      </c>
      <c r="Z38" s="419">
        <f t="shared" si="77"/>
        <v>0</v>
      </c>
      <c r="AA38" s="419">
        <f t="shared" si="77"/>
        <v>0</v>
      </c>
      <c r="AB38" s="419">
        <f t="shared" si="77"/>
        <v>0</v>
      </c>
      <c r="AC38" s="419">
        <f t="shared" si="77"/>
        <v>0</v>
      </c>
      <c r="AE38" s="416">
        <f>SUM(AE39:AE42)</f>
        <v>0</v>
      </c>
      <c r="AF38" s="419">
        <f>SUM(AF39:AF42)</f>
        <v>0</v>
      </c>
      <c r="AG38" s="865">
        <f t="shared" ref="AG38:AK38" si="78">SUM(AG39:AG42)</f>
        <v>0</v>
      </c>
      <c r="AH38" s="419">
        <f t="shared" si="78"/>
        <v>0</v>
      </c>
      <c r="AI38" s="419">
        <f t="shared" si="78"/>
        <v>0</v>
      </c>
      <c r="AJ38" s="419">
        <f t="shared" si="78"/>
        <v>0</v>
      </c>
      <c r="AK38" s="419">
        <f t="shared" si="78"/>
        <v>0</v>
      </c>
      <c r="AM38" s="416">
        <f>SUM(AM39:AM42)</f>
        <v>0</v>
      </c>
      <c r="AN38" s="419">
        <f>SUM(AN39:AN42)</f>
        <v>0</v>
      </c>
      <c r="AO38" s="865">
        <f t="shared" ref="AO38:AS38" si="79">SUM(AO39:AO42)</f>
        <v>0</v>
      </c>
      <c r="AP38" s="419">
        <f t="shared" si="79"/>
        <v>0</v>
      </c>
      <c r="AQ38" s="419">
        <f t="shared" si="79"/>
        <v>0</v>
      </c>
      <c r="AR38" s="419">
        <f t="shared" si="79"/>
        <v>0</v>
      </c>
      <c r="AS38" s="419">
        <f t="shared" si="79"/>
        <v>0</v>
      </c>
      <c r="AU38" s="416">
        <f>SUM(AU39:AU42)</f>
        <v>0</v>
      </c>
      <c r="AV38" s="419">
        <f>SUM(AV39:AV42)</f>
        <v>0</v>
      </c>
      <c r="AW38" s="865">
        <f t="shared" ref="AW38:BA38" si="80">SUM(AW39:AW42)</f>
        <v>0</v>
      </c>
      <c r="AX38" s="419">
        <f t="shared" si="80"/>
        <v>0</v>
      </c>
      <c r="AY38" s="419">
        <f t="shared" si="80"/>
        <v>0</v>
      </c>
      <c r="AZ38" s="419">
        <f t="shared" si="80"/>
        <v>0</v>
      </c>
      <c r="BA38" s="419">
        <f t="shared" si="80"/>
        <v>0</v>
      </c>
      <c r="BC38" s="416">
        <f>SUM(BC39:BC42)</f>
        <v>7144</v>
      </c>
      <c r="BD38" s="419">
        <f>SUM(BD39:BD42)</f>
        <v>7584</v>
      </c>
      <c r="BE38" s="865">
        <f t="shared" ref="BE38:BI38" si="81">SUM(BE39:BE42)</f>
        <v>7793.3849999999993</v>
      </c>
      <c r="BF38" s="419">
        <f t="shared" si="81"/>
        <v>7960.1020994999999</v>
      </c>
      <c r="BG38" s="419">
        <f t="shared" si="81"/>
        <v>8144.3994237249008</v>
      </c>
      <c r="BH38" s="419">
        <f t="shared" si="81"/>
        <v>8278.3656011558705</v>
      </c>
      <c r="BI38" s="419">
        <f t="shared" si="81"/>
        <v>8498.0727348987803</v>
      </c>
    </row>
    <row r="39" spans="2:71" s="660" customFormat="1" ht="11.1" customHeight="1">
      <c r="B39" s="661"/>
      <c r="C39" s="1288">
        <v>400</v>
      </c>
      <c r="D39" s="1434" t="s">
        <v>91</v>
      </c>
      <c r="E39" s="1434"/>
      <c r="F39" s="1435"/>
      <c r="G39" s="424">
        <f>'F1b Budget Aktuell'!G36</f>
        <v>5930</v>
      </c>
      <c r="H39" s="331">
        <f>'F1c Budget Neu'!G36</f>
        <v>6225</v>
      </c>
      <c r="I39" s="869">
        <f>H39*(1+'F0b Planungsparameter'!$I35)*(1+'F0b Planungsparameter'!$I37)*'F0b Planungsparameter'!$I34/'F0b Planungsparameter'!$H34</f>
        <v>6412.9949999999999</v>
      </c>
      <c r="J39" s="331">
        <f>I39*(1+'F0b Planungsparameter'!$J35)*(1+'F0b Planungsparameter'!$J37)*'F0b Planungsparameter'!$J34/'F0b Planungsparameter'!$I34</f>
        <v>6541.8961995</v>
      </c>
      <c r="K39" s="331">
        <f>J39*(1+'F0b Planungsparameter'!$K35)*(1+'F0b Planungsparameter'!$K37)*'F0b Planungsparameter'!$K34/'F0b Planungsparameter'!$J34</f>
        <v>6739.4614647249</v>
      </c>
      <c r="L39" s="331">
        <f>K39*(1+'F0b Planungsparameter'!$L35)*(1+'F0b Planungsparameter'!$L37)*'F0b Planungsparameter'!$L34/'F0b Planungsparameter'!$K34</f>
        <v>6874.9246401658702</v>
      </c>
      <c r="M39" s="331">
        <f>L39*(1+'F0b Planungsparameter'!$M35)*(1+'F0b Planungsparameter'!$M37)*'F0b Planungsparameter'!$M34/'F0b Planungsparameter'!$L34</f>
        <v>7082.5473642988791</v>
      </c>
      <c r="N39" s="1166" t="str">
        <f t="shared" si="75"/>
        <v/>
      </c>
      <c r="O39" s="424">
        <f>'F1b Budget Aktuell'!I36</f>
        <v>0</v>
      </c>
      <c r="P39" s="331">
        <f>'F1c Budget Neu'!I36</f>
        <v>0</v>
      </c>
      <c r="Q39" s="869">
        <f>P39*(1+'F0b Planungsparameter'!$I35)*(1+'F0b Planungsparameter'!$I37)*'F0b Planungsparameter'!$I34/'F0b Planungsparameter'!$H34</f>
        <v>0</v>
      </c>
      <c r="R39" s="331">
        <f>Q39*(1+'F0b Planungsparameter'!$J35)*(1+'F0b Planungsparameter'!$J37)*'F0b Planungsparameter'!$J34/'F0b Planungsparameter'!$I34</f>
        <v>0</v>
      </c>
      <c r="S39" s="331">
        <f>R39*(1+'F0b Planungsparameter'!$K35)*(1+'F0b Planungsparameter'!$K37)*'F0b Planungsparameter'!$K34/'F0b Planungsparameter'!$J34</f>
        <v>0</v>
      </c>
      <c r="T39" s="331">
        <f>S39*(1+'F0b Planungsparameter'!$L35)*(1+'F0b Planungsparameter'!$L37)*'F0b Planungsparameter'!$L34/'F0b Planungsparameter'!$K34</f>
        <v>0</v>
      </c>
      <c r="U39" s="331">
        <f>T39*(1+'F0b Planungsparameter'!$M35)*(1+'F0b Planungsparameter'!$M37)*'F0b Planungsparameter'!$M34/'F0b Planungsparameter'!$L34</f>
        <v>0</v>
      </c>
      <c r="W39" s="424">
        <f>'F1b Budget Aktuell'!$J36</f>
        <v>0</v>
      </c>
      <c r="X39" s="331">
        <f>'F1c Budget Neu'!$J36</f>
        <v>0</v>
      </c>
      <c r="Y39" s="869">
        <f>X39*(1+'F0b Planungsparameter'!$I35)*(1+'F0b Planungsparameter'!$I37)*'F0b Planungsparameter'!$I34/'F0b Planungsparameter'!$H34</f>
        <v>0</v>
      </c>
      <c r="Z39" s="331">
        <f>Y39*(1+'F0b Planungsparameter'!$J35)*(1+'F0b Planungsparameter'!$J37)*'F0b Planungsparameter'!$J34/'F0b Planungsparameter'!$I34</f>
        <v>0</v>
      </c>
      <c r="AA39" s="331">
        <f>Z39*(1+'F0b Planungsparameter'!$K35)*(1+'F0b Planungsparameter'!$K37)*'F0b Planungsparameter'!$K34/'F0b Planungsparameter'!$J34</f>
        <v>0</v>
      </c>
      <c r="AB39" s="331">
        <f>AA39*(1+'F0b Planungsparameter'!$L35)*(1+'F0b Planungsparameter'!$L37)*'F0b Planungsparameter'!$L34/'F0b Planungsparameter'!$K34</f>
        <v>0</v>
      </c>
      <c r="AC39" s="331">
        <f>AB39*(1+'F0b Planungsparameter'!$M35)*(1+'F0b Planungsparameter'!$M37)*'F0b Planungsparameter'!$M34/'F0b Planungsparameter'!$L34</f>
        <v>0</v>
      </c>
      <c r="AE39" s="424">
        <f>'F1b Budget Aktuell'!$K36</f>
        <v>0</v>
      </c>
      <c r="AF39" s="331">
        <f>'F1c Budget Neu'!$K36</f>
        <v>0</v>
      </c>
      <c r="AG39" s="869">
        <f>AF39*(1+'F0b Planungsparameter'!$I35)*(1+'F0b Planungsparameter'!$I37)*'F0b Planungsparameter'!$I34/'F0b Planungsparameter'!$H34</f>
        <v>0</v>
      </c>
      <c r="AH39" s="331">
        <f>AG39*(1+'F0b Planungsparameter'!$J35)*(1+'F0b Planungsparameter'!$J37)*'F0b Planungsparameter'!$J34/'F0b Planungsparameter'!$I34</f>
        <v>0</v>
      </c>
      <c r="AI39" s="331">
        <f>AH39*(1+'F0b Planungsparameter'!$K35)*(1+'F0b Planungsparameter'!$K37)*'F0b Planungsparameter'!$K34/'F0b Planungsparameter'!$J34</f>
        <v>0</v>
      </c>
      <c r="AJ39" s="331">
        <f>AI39*(1+'F0b Planungsparameter'!$L35)*(1+'F0b Planungsparameter'!$L37)*'F0b Planungsparameter'!$L34/'F0b Planungsparameter'!$K34</f>
        <v>0</v>
      </c>
      <c r="AK39" s="331">
        <f>AJ39*(1+'F0b Planungsparameter'!$M35)*(1+'F0b Planungsparameter'!$M37)*'F0b Planungsparameter'!$M34/'F0b Planungsparameter'!$L34</f>
        <v>0</v>
      </c>
      <c r="AM39" s="424">
        <f>'F1b Budget Aktuell'!$L36</f>
        <v>0</v>
      </c>
      <c r="AN39" s="331">
        <f>'F1c Budget Neu'!$L36</f>
        <v>0</v>
      </c>
      <c r="AO39" s="869">
        <f>AN39*(1+'F0b Planungsparameter'!$I35)*(1+'F0b Planungsparameter'!$I37)*'F0b Planungsparameter'!$I34/'F0b Planungsparameter'!$H34</f>
        <v>0</v>
      </c>
      <c r="AP39" s="331">
        <f>AO39*(1+'F0b Planungsparameter'!$J35)*(1+'F0b Planungsparameter'!$J37)*'F0b Planungsparameter'!$J34/'F0b Planungsparameter'!$I34</f>
        <v>0</v>
      </c>
      <c r="AQ39" s="331">
        <f>AP39*(1+'F0b Planungsparameter'!$K35)*(1+'F0b Planungsparameter'!$K37)*'F0b Planungsparameter'!$K34/'F0b Planungsparameter'!$J34</f>
        <v>0</v>
      </c>
      <c r="AR39" s="331">
        <f>AQ39*(1+'F0b Planungsparameter'!$L35)*(1+'F0b Planungsparameter'!$L37)*'F0b Planungsparameter'!$L34/'F0b Planungsparameter'!$K34</f>
        <v>0</v>
      </c>
      <c r="AS39" s="331">
        <f>AR39*(1+'F0b Planungsparameter'!$M35)*(1+'F0b Planungsparameter'!$M37)*'F0b Planungsparameter'!$M34/'F0b Planungsparameter'!$L34</f>
        <v>0</v>
      </c>
      <c r="AU39" s="424">
        <f>'F1b Budget Aktuell'!$M36</f>
        <v>0</v>
      </c>
      <c r="AV39" s="331">
        <f>'F1c Budget Neu'!$M36</f>
        <v>0</v>
      </c>
      <c r="AW39" s="869">
        <f>AV39*(1+'F0b Planungsparameter'!$I35)*(1+'F0b Planungsparameter'!$I37)*'F0b Planungsparameter'!$I34/'F0b Planungsparameter'!$H34</f>
        <v>0</v>
      </c>
      <c r="AX39" s="331">
        <f>AW39*(1+'F0b Planungsparameter'!$J35)*(1+'F0b Planungsparameter'!$J37)*'F0b Planungsparameter'!$J34/'F0b Planungsparameter'!$I34</f>
        <v>0</v>
      </c>
      <c r="AY39" s="331">
        <f>AX39*(1+'F0b Planungsparameter'!$K35)*(1+'F0b Planungsparameter'!$K37)*'F0b Planungsparameter'!$K34/'F0b Planungsparameter'!$J34</f>
        <v>0</v>
      </c>
      <c r="AZ39" s="331">
        <f>AY39*(1+'F0b Planungsparameter'!$L35)*(1+'F0b Planungsparameter'!$L37)*'F0b Planungsparameter'!$L34/'F0b Planungsparameter'!$K34</f>
        <v>0</v>
      </c>
      <c r="BA39" s="331">
        <f>AZ39*(1+'F0b Planungsparameter'!$M35)*(1+'F0b Planungsparameter'!$M37)*'F0b Planungsparameter'!$M34/'F0b Planungsparameter'!$L34</f>
        <v>0</v>
      </c>
      <c r="BC39" s="424">
        <f>'F1b Budget Aktuell'!$N36</f>
        <v>5930</v>
      </c>
      <c r="BD39" s="331">
        <f>'F1c Budget Neu'!$N36</f>
        <v>6225</v>
      </c>
      <c r="BE39" s="869">
        <f>BD39*(1+'F0b Planungsparameter'!$I35)*(1+'F0b Planungsparameter'!$I37)*'F0b Planungsparameter'!$I34/'F0b Planungsparameter'!$H34</f>
        <v>6412.9949999999999</v>
      </c>
      <c r="BF39" s="331">
        <f>BE39*(1+'F0b Planungsparameter'!$J35)*(1+'F0b Planungsparameter'!$J37)*'F0b Planungsparameter'!$J34/'F0b Planungsparameter'!$I34</f>
        <v>6541.8961995</v>
      </c>
      <c r="BG39" s="331">
        <f>BF39*(1+'F0b Planungsparameter'!$K35)*(1+'F0b Planungsparameter'!$K37)*'F0b Planungsparameter'!$K34/'F0b Planungsparameter'!$J34</f>
        <v>6739.4614647249</v>
      </c>
      <c r="BH39" s="331">
        <f>BG39*(1+'F0b Planungsparameter'!$L35)*(1+'F0b Planungsparameter'!$L37)*'F0b Planungsparameter'!$L34/'F0b Planungsparameter'!$K34</f>
        <v>6874.9246401658702</v>
      </c>
      <c r="BI39" s="331">
        <f>BH39*(1+'F0b Planungsparameter'!$M35)*(1+'F0b Planungsparameter'!$M37)*'F0b Planungsparameter'!$M34/'F0b Planungsparameter'!$L34</f>
        <v>7082.5473642988791</v>
      </c>
    </row>
    <row r="40" spans="2:71" s="660" customFormat="1" ht="11.1" customHeight="1">
      <c r="B40" s="661"/>
      <c r="C40" s="1288">
        <v>401</v>
      </c>
      <c r="D40" s="1434" t="s">
        <v>92</v>
      </c>
      <c r="E40" s="1434"/>
      <c r="F40" s="1435"/>
      <c r="G40" s="424">
        <f>'F1b Budget Aktuell'!G37</f>
        <v>975</v>
      </c>
      <c r="H40" s="331">
        <f>'F1c Budget Neu'!G37</f>
        <v>1120</v>
      </c>
      <c r="I40" s="869">
        <f>H40*(1+'F0b Planungsparameter'!$I38)*'F0b Planungsparameter'!$I34/'F0b Planungsparameter'!$H34</f>
        <v>1131.2</v>
      </c>
      <c r="J40" s="331">
        <f>I40*(1+'F0b Planungsparameter'!$J38)*'F0b Planungsparameter'!$J34/'F0b Planungsparameter'!$I34</f>
        <v>1153.8240000000001</v>
      </c>
      <c r="K40" s="331">
        <f>J40*(1+'F0b Planungsparameter'!$K38)*'F0b Planungsparameter'!$K34/'F0b Planungsparameter'!$J34</f>
        <v>1165.3622400000002</v>
      </c>
      <c r="L40" s="331">
        <f>K40*(1+'F0b Planungsparameter'!$L38)*'F0b Planungsparameter'!$L34/'F0b Planungsparameter'!$K34</f>
        <v>1188.6694848000002</v>
      </c>
      <c r="M40" s="331">
        <f>L40*(1+'F0b Planungsparameter'!$M38)*'F0b Planungsparameter'!$M34/'F0b Planungsparameter'!$L34</f>
        <v>1200.5561796480001</v>
      </c>
      <c r="N40" s="1166" t="str">
        <f t="shared" si="75"/>
        <v/>
      </c>
      <c r="O40" s="424">
        <f>'F1b Budget Aktuell'!I37</f>
        <v>0</v>
      </c>
      <c r="P40" s="331">
        <f>'F1c Budget Neu'!I37</f>
        <v>0</v>
      </c>
      <c r="Q40" s="869">
        <f>P40*(1+'F0b Planungsparameter'!$I38)*'F0b Planungsparameter'!$I34/'F0b Planungsparameter'!$H34</f>
        <v>0</v>
      </c>
      <c r="R40" s="331">
        <f>Q40*(1+'F0b Planungsparameter'!$J38)*'F0b Planungsparameter'!$J34/'F0b Planungsparameter'!$I34</f>
        <v>0</v>
      </c>
      <c r="S40" s="331">
        <f>R40*(1+'F0b Planungsparameter'!$K38)*'F0b Planungsparameter'!$K34/'F0b Planungsparameter'!$J34</f>
        <v>0</v>
      </c>
      <c r="T40" s="331">
        <f>S40*(1+'F0b Planungsparameter'!$L38)*'F0b Planungsparameter'!$L34/'F0b Planungsparameter'!$K34</f>
        <v>0</v>
      </c>
      <c r="U40" s="331">
        <f>T40*(1+'F0b Planungsparameter'!$M38)*'F0b Planungsparameter'!$M34/'F0b Planungsparameter'!$L34</f>
        <v>0</v>
      </c>
      <c r="W40" s="424">
        <f>'F1b Budget Aktuell'!$J37</f>
        <v>0</v>
      </c>
      <c r="X40" s="331">
        <f>'F1c Budget Neu'!$J37</f>
        <v>0</v>
      </c>
      <c r="Y40" s="869">
        <f>X40*(1+'F0b Planungsparameter'!$I38)*'F0b Planungsparameter'!$I34/'F0b Planungsparameter'!$H34</f>
        <v>0</v>
      </c>
      <c r="Z40" s="331">
        <f>Y40*(1+'F0b Planungsparameter'!$J38)*'F0b Planungsparameter'!$J34/'F0b Planungsparameter'!$I34</f>
        <v>0</v>
      </c>
      <c r="AA40" s="331">
        <f>Z40*(1+'F0b Planungsparameter'!$K38)*'F0b Planungsparameter'!$K34/'F0b Planungsparameter'!$J34</f>
        <v>0</v>
      </c>
      <c r="AB40" s="331">
        <f>AA40*(1+'F0b Planungsparameter'!$L38)*'F0b Planungsparameter'!$L34/'F0b Planungsparameter'!$K34</f>
        <v>0</v>
      </c>
      <c r="AC40" s="331">
        <f>AB40*(1+'F0b Planungsparameter'!$M38)*'F0b Planungsparameter'!$M34/'F0b Planungsparameter'!$L34</f>
        <v>0</v>
      </c>
      <c r="AE40" s="424">
        <f>'F1b Budget Aktuell'!$K37</f>
        <v>0</v>
      </c>
      <c r="AF40" s="331">
        <f>'F1c Budget Neu'!$K37</f>
        <v>0</v>
      </c>
      <c r="AG40" s="869">
        <f>AF40*(1+'F0b Planungsparameter'!$I38)*'F0b Planungsparameter'!$I34/'F0b Planungsparameter'!$H34</f>
        <v>0</v>
      </c>
      <c r="AH40" s="331">
        <f>AG40*(1+'F0b Planungsparameter'!$J38)*'F0b Planungsparameter'!$J34/'F0b Planungsparameter'!$I34</f>
        <v>0</v>
      </c>
      <c r="AI40" s="331">
        <f>AH40*(1+'F0b Planungsparameter'!$K38)*'F0b Planungsparameter'!$K34/'F0b Planungsparameter'!$J34</f>
        <v>0</v>
      </c>
      <c r="AJ40" s="331">
        <f>AI40*(1+'F0b Planungsparameter'!$L38)*'F0b Planungsparameter'!$L34/'F0b Planungsparameter'!$K34</f>
        <v>0</v>
      </c>
      <c r="AK40" s="331">
        <f>AJ40*(1+'F0b Planungsparameter'!$M38)*'F0b Planungsparameter'!$M34/'F0b Planungsparameter'!$L34</f>
        <v>0</v>
      </c>
      <c r="AM40" s="424">
        <f>'F1b Budget Aktuell'!$L37</f>
        <v>0</v>
      </c>
      <c r="AN40" s="331">
        <f>'F1c Budget Neu'!$L37</f>
        <v>0</v>
      </c>
      <c r="AO40" s="869">
        <f>AN40*(1+'F0b Planungsparameter'!$I38)*'F0b Planungsparameter'!$I34/'F0b Planungsparameter'!$H34</f>
        <v>0</v>
      </c>
      <c r="AP40" s="331">
        <f>AO40*(1+'F0b Planungsparameter'!$J38)*'F0b Planungsparameter'!$J34/'F0b Planungsparameter'!$I34</f>
        <v>0</v>
      </c>
      <c r="AQ40" s="331">
        <f>AP40*(1+'F0b Planungsparameter'!$K38)*'F0b Planungsparameter'!$K34/'F0b Planungsparameter'!$J34</f>
        <v>0</v>
      </c>
      <c r="AR40" s="331">
        <f>AQ40*(1+'F0b Planungsparameter'!$L38)*'F0b Planungsparameter'!$L34/'F0b Planungsparameter'!$K34</f>
        <v>0</v>
      </c>
      <c r="AS40" s="331">
        <f>AR40*(1+'F0b Planungsparameter'!$M38)*'F0b Planungsparameter'!$M34/'F0b Planungsparameter'!$L34</f>
        <v>0</v>
      </c>
      <c r="AU40" s="424">
        <f>'F1b Budget Aktuell'!$M37</f>
        <v>0</v>
      </c>
      <c r="AV40" s="331">
        <f>'F1c Budget Neu'!$M37</f>
        <v>0</v>
      </c>
      <c r="AW40" s="869">
        <f>AV40*(1+'F0b Planungsparameter'!$I38)*'F0b Planungsparameter'!$I34/'F0b Planungsparameter'!$H34</f>
        <v>0</v>
      </c>
      <c r="AX40" s="331">
        <f>AW40*(1+'F0b Planungsparameter'!$J38)*'F0b Planungsparameter'!$J34/'F0b Planungsparameter'!$I34</f>
        <v>0</v>
      </c>
      <c r="AY40" s="331">
        <f>AX40*(1+'F0b Planungsparameter'!$K38)*'F0b Planungsparameter'!$K34/'F0b Planungsparameter'!$J34</f>
        <v>0</v>
      </c>
      <c r="AZ40" s="331">
        <f>AY40*(1+'F0b Planungsparameter'!$L38)*'F0b Planungsparameter'!$L34/'F0b Planungsparameter'!$K34</f>
        <v>0</v>
      </c>
      <c r="BA40" s="331">
        <f>AZ40*(1+'F0b Planungsparameter'!$M38)*'F0b Planungsparameter'!$M34/'F0b Planungsparameter'!$L34</f>
        <v>0</v>
      </c>
      <c r="BC40" s="424">
        <f>'F1b Budget Aktuell'!$N37</f>
        <v>975</v>
      </c>
      <c r="BD40" s="331">
        <f>'F1c Budget Neu'!$N37</f>
        <v>1120</v>
      </c>
      <c r="BE40" s="869">
        <f>BD40*(1+'F0b Planungsparameter'!$I38)*'F0b Planungsparameter'!$I34/'F0b Planungsparameter'!$H34</f>
        <v>1131.2</v>
      </c>
      <c r="BF40" s="331">
        <f>BE40*(1+'F0b Planungsparameter'!$J38)*'F0b Planungsparameter'!$J34/'F0b Planungsparameter'!$I34</f>
        <v>1153.8240000000001</v>
      </c>
      <c r="BG40" s="331">
        <f>BF40*(1+'F0b Planungsparameter'!$K38)*'F0b Planungsparameter'!$K34/'F0b Planungsparameter'!$J34</f>
        <v>1165.3622400000002</v>
      </c>
      <c r="BH40" s="331">
        <f>BG40*(1+'F0b Planungsparameter'!$L38)*'F0b Planungsparameter'!$L34/'F0b Planungsparameter'!$K34</f>
        <v>1188.6694848000002</v>
      </c>
      <c r="BI40" s="331">
        <f>BH40*(1+'F0b Planungsparameter'!$M38)*'F0b Planungsparameter'!$M34/'F0b Planungsparameter'!$L34</f>
        <v>1200.5561796480001</v>
      </c>
    </row>
    <row r="41" spans="2:71" ht="11.1" customHeight="1">
      <c r="B41" s="374"/>
      <c r="C41" s="428">
        <v>402</v>
      </c>
      <c r="D41" s="1436" t="s">
        <v>162</v>
      </c>
      <c r="E41" s="1436"/>
      <c r="F41" s="1437"/>
      <c r="G41" s="424">
        <f>'F1b Budget Aktuell'!G38</f>
        <v>220</v>
      </c>
      <c r="H41" s="331">
        <f>'F1c Budget Neu'!G38</f>
        <v>220</v>
      </c>
      <c r="I41" s="869">
        <f>'F0b Planungsparameter'!$I43</f>
        <v>230</v>
      </c>
      <c r="J41" s="331">
        <f>'F0b Planungsparameter'!$J43</f>
        <v>245</v>
      </c>
      <c r="K41" s="331">
        <f>'F0b Planungsparameter'!$K43</f>
        <v>220</v>
      </c>
      <c r="L41" s="331">
        <f>'F0b Planungsparameter'!$L43</f>
        <v>195</v>
      </c>
      <c r="M41" s="331">
        <f>'F0b Planungsparameter'!$M43</f>
        <v>195</v>
      </c>
      <c r="N41" s="602" t="str">
        <f t="shared" si="75"/>
        <v/>
      </c>
      <c r="O41" s="424">
        <f>'F1b Budget Aktuell'!I38</f>
        <v>0</v>
      </c>
      <c r="P41" s="331">
        <f>'F1c Budget Neu'!I38</f>
        <v>0</v>
      </c>
      <c r="Q41" s="857">
        <f>IF('F0a Konfiguration'!$C$23='F2 Weiterführung ER'!O$7,'F0b Planungsparameter'!$I43,0)</f>
        <v>0</v>
      </c>
      <c r="R41" s="858">
        <f>IF('F0a Konfiguration'!$C$23='F2 Weiterführung ER'!O$7,'F0b Planungsparameter'!$J43,0)</f>
        <v>0</v>
      </c>
      <c r="S41" s="858">
        <f>IF('F0a Konfiguration'!$C$23='F2 Weiterführung ER'!O$7,'F0b Planungsparameter'!$K43,0)</f>
        <v>0</v>
      </c>
      <c r="T41" s="858">
        <f>IF('F0a Konfiguration'!$C$23='F2 Weiterführung ER'!O$7,'F0b Planungsparameter'!$L43,0)</f>
        <v>0</v>
      </c>
      <c r="U41" s="858">
        <f>IF('F0a Konfiguration'!$C$23='F2 Weiterführung ER'!O$7,'F0b Planungsparameter'!$M43,0)</f>
        <v>0</v>
      </c>
      <c r="V41" s="859"/>
      <c r="W41" s="424">
        <f>'F1b Budget Aktuell'!$J38</f>
        <v>0</v>
      </c>
      <c r="X41" s="331">
        <f>'F1c Budget Neu'!$J38</f>
        <v>0</v>
      </c>
      <c r="Y41" s="857">
        <f>IF('F0a Konfiguration'!$C$23='F2 Weiterführung ER'!W$7,'F0b Planungsparameter'!$I43,0)</f>
        <v>0</v>
      </c>
      <c r="Z41" s="858">
        <f>IF('F0a Konfiguration'!$C$23='F2 Weiterführung ER'!W$7,'F0b Planungsparameter'!$J43,0)</f>
        <v>0</v>
      </c>
      <c r="AA41" s="858">
        <f>IF('F0a Konfiguration'!$C$23='F2 Weiterführung ER'!W$7,'F0b Planungsparameter'!$K43,0)</f>
        <v>0</v>
      </c>
      <c r="AB41" s="858">
        <f>IF('F0a Konfiguration'!$C$23='F2 Weiterführung ER'!W$7,'F0b Planungsparameter'!$L43,0)</f>
        <v>0</v>
      </c>
      <c r="AC41" s="858">
        <f>IF('F0a Konfiguration'!$C$23='F2 Weiterführung ER'!W$7,'F0b Planungsparameter'!$M43,0)</f>
        <v>0</v>
      </c>
      <c r="AD41" s="859"/>
      <c r="AE41" s="424">
        <f>'F1b Budget Aktuell'!$K38</f>
        <v>0</v>
      </c>
      <c r="AF41" s="331">
        <f>'F1c Budget Neu'!$K38</f>
        <v>0</v>
      </c>
      <c r="AG41" s="857">
        <f>IF('F0a Konfiguration'!$C$23='F2 Weiterführung ER'!AE$7,'F0b Planungsparameter'!$I43,0)</f>
        <v>0</v>
      </c>
      <c r="AH41" s="858">
        <f>IF('F0a Konfiguration'!$C$23='F2 Weiterführung ER'!AE$7,'F0b Planungsparameter'!$J43,0)</f>
        <v>0</v>
      </c>
      <c r="AI41" s="858">
        <f>IF('F0a Konfiguration'!$C$23='F2 Weiterführung ER'!AE$7,'F0b Planungsparameter'!$K43,0)</f>
        <v>0</v>
      </c>
      <c r="AJ41" s="858">
        <f>IF('F0a Konfiguration'!$C$23='F2 Weiterführung ER'!AE$7,'F0b Planungsparameter'!$L43,0)</f>
        <v>0</v>
      </c>
      <c r="AK41" s="858">
        <f>IF('F0a Konfiguration'!$C$23='F2 Weiterführung ER'!AE$7,'F0b Planungsparameter'!$M43,0)</f>
        <v>0</v>
      </c>
      <c r="AL41" s="859"/>
      <c r="AM41" s="424">
        <f>'F1b Budget Aktuell'!$L38</f>
        <v>0</v>
      </c>
      <c r="AN41" s="331">
        <f>'F1c Budget Neu'!$L38</f>
        <v>0</v>
      </c>
      <c r="AO41" s="857">
        <f>IF('F0a Konfiguration'!$C$23='F2 Weiterführung ER'!AM$7,'F0b Planungsparameter'!$I43,0)</f>
        <v>0</v>
      </c>
      <c r="AP41" s="858">
        <f>IF('F0a Konfiguration'!$C$23='F2 Weiterführung ER'!AM$7,'F0b Planungsparameter'!$J43,0)</f>
        <v>0</v>
      </c>
      <c r="AQ41" s="858">
        <f>IF('F0a Konfiguration'!$C$23='F2 Weiterführung ER'!AM$7,'F0b Planungsparameter'!$K43,0)</f>
        <v>0</v>
      </c>
      <c r="AR41" s="858">
        <f>IF('F0a Konfiguration'!$C$23='F2 Weiterführung ER'!AM$7,'F0b Planungsparameter'!$L43,0)</f>
        <v>0</v>
      </c>
      <c r="AS41" s="858">
        <f>IF('F0a Konfiguration'!$C$23='F2 Weiterführung ER'!AM$7,'F0b Planungsparameter'!$M43,0)</f>
        <v>0</v>
      </c>
      <c r="AT41" s="859"/>
      <c r="AU41" s="424">
        <f>'F1b Budget Aktuell'!$M38</f>
        <v>0</v>
      </c>
      <c r="AV41" s="331">
        <f>'F1c Budget Neu'!$M38</f>
        <v>0</v>
      </c>
      <c r="AW41" s="857">
        <f>IF('F0a Konfiguration'!$C$23='F2 Weiterführung ER'!AU$7,'F0b Planungsparameter'!$I43,0)</f>
        <v>0</v>
      </c>
      <c r="AX41" s="858">
        <f>IF('F0a Konfiguration'!$C$23='F2 Weiterführung ER'!AU$7,'F0b Planungsparameter'!$J43,0)</f>
        <v>0</v>
      </c>
      <c r="AY41" s="858">
        <f>IF('F0a Konfiguration'!$C$23='F2 Weiterführung ER'!AU$7,'F0b Planungsparameter'!$K43,0)</f>
        <v>0</v>
      </c>
      <c r="AZ41" s="858">
        <f>IF('F0a Konfiguration'!$C$23='F2 Weiterführung ER'!AU$7,'F0b Planungsparameter'!$L43,0)</f>
        <v>0</v>
      </c>
      <c r="BA41" s="858">
        <f>IF('F0a Konfiguration'!$C$23='F2 Weiterführung ER'!AU$7,'F0b Planungsparameter'!$M43,0)</f>
        <v>0</v>
      </c>
      <c r="BB41" s="859"/>
      <c r="BC41" s="424">
        <f>'F1b Budget Aktuell'!$N38</f>
        <v>220</v>
      </c>
      <c r="BD41" s="331">
        <f>'F1c Budget Neu'!$N38</f>
        <v>220</v>
      </c>
      <c r="BE41" s="857">
        <f>IF('F0a Konfiguration'!$C$23='F2 Weiterführung ER'!BC$7,'F0b Planungsparameter'!$I43,0)</f>
        <v>230</v>
      </c>
      <c r="BF41" s="858">
        <f>IF('F0a Konfiguration'!$C$23='F2 Weiterführung ER'!BC$7,'F0b Planungsparameter'!$J43,0)</f>
        <v>245</v>
      </c>
      <c r="BG41" s="858">
        <f>IF('F0a Konfiguration'!$C$23='F2 Weiterführung ER'!BC$7,'F0b Planungsparameter'!$K43,0)</f>
        <v>220</v>
      </c>
      <c r="BH41" s="858">
        <f>IF('F0a Konfiguration'!$C$23='F2 Weiterführung ER'!BC$7,'F0b Planungsparameter'!$L43,0)</f>
        <v>195</v>
      </c>
      <c r="BI41" s="858">
        <f>IF('F0a Konfiguration'!$C$23='F2 Weiterführung ER'!BC$7,'F0b Planungsparameter'!$M43,0)</f>
        <v>195</v>
      </c>
      <c r="BJ41" s="859"/>
      <c r="BK41" s="859"/>
      <c r="BL41" s="859"/>
      <c r="BM41" s="859"/>
      <c r="BN41" s="859"/>
      <c r="BO41" s="859"/>
      <c r="BP41" s="859"/>
      <c r="BQ41" s="859"/>
      <c r="BR41" s="859"/>
      <c r="BS41" s="859"/>
    </row>
    <row r="42" spans="2:71" s="660" customFormat="1" ht="11.1" customHeight="1">
      <c r="B42" s="661"/>
      <c r="C42" s="1288">
        <v>403</v>
      </c>
      <c r="D42" s="1434" t="s">
        <v>81</v>
      </c>
      <c r="E42" s="1434"/>
      <c r="F42" s="1435"/>
      <c r="G42" s="424">
        <f>'F1b Budget Aktuell'!G39</f>
        <v>19</v>
      </c>
      <c r="H42" s="331">
        <f>'F1c Budget Neu'!G39</f>
        <v>19</v>
      </c>
      <c r="I42" s="869">
        <f>H42*(1+'F0b Planungsparameter'!$I35)</f>
        <v>19.190000000000001</v>
      </c>
      <c r="J42" s="869">
        <f>I42*(1+'F0b Planungsparameter'!$J35)</f>
        <v>19.381900000000002</v>
      </c>
      <c r="K42" s="869">
        <f>J42*(1+'F0b Planungsparameter'!$K35)</f>
        <v>19.575719000000003</v>
      </c>
      <c r="L42" s="869">
        <f>K42*(1+'F0b Planungsparameter'!$L35)</f>
        <v>19.771476190000005</v>
      </c>
      <c r="M42" s="869">
        <f>L42*(1+'F0b Planungsparameter'!$M35)</f>
        <v>19.969190951900003</v>
      </c>
      <c r="N42" s="1166" t="str">
        <f t="shared" si="75"/>
        <v/>
      </c>
      <c r="O42" s="424">
        <f>'F1b Budget Aktuell'!I39</f>
        <v>0</v>
      </c>
      <c r="P42" s="331">
        <f>'F1c Budget Neu'!I39</f>
        <v>0</v>
      </c>
      <c r="Q42" s="869">
        <f>P42*(1+'F0b Planungsparameter'!$I35)</f>
        <v>0</v>
      </c>
      <c r="R42" s="869">
        <f>Q42*(1+'F0b Planungsparameter'!$J35)</f>
        <v>0</v>
      </c>
      <c r="S42" s="869">
        <f>R42*(1+'F0b Planungsparameter'!$K35)</f>
        <v>0</v>
      </c>
      <c r="T42" s="869">
        <f>S42*(1+'F0b Planungsparameter'!$L35)</f>
        <v>0</v>
      </c>
      <c r="U42" s="869">
        <f>T42*(1+'F0b Planungsparameter'!$M35)</f>
        <v>0</v>
      </c>
      <c r="W42" s="424">
        <f>'F1b Budget Aktuell'!$J39</f>
        <v>0</v>
      </c>
      <c r="X42" s="331">
        <f>'F1c Budget Neu'!$J39</f>
        <v>0</v>
      </c>
      <c r="Y42" s="869">
        <f>X42*(1+'F0b Planungsparameter'!$I35)</f>
        <v>0</v>
      </c>
      <c r="Z42" s="869">
        <f>Y42*(1+'F0b Planungsparameter'!$J35)</f>
        <v>0</v>
      </c>
      <c r="AA42" s="869">
        <f>Z42*(1+'F0b Planungsparameter'!$K35)</f>
        <v>0</v>
      </c>
      <c r="AB42" s="869">
        <f>AA42*(1+'F0b Planungsparameter'!$L35)</f>
        <v>0</v>
      </c>
      <c r="AC42" s="869">
        <f>AB42*(1+'F0b Planungsparameter'!$M35)</f>
        <v>0</v>
      </c>
      <c r="AE42" s="424">
        <f>'F1b Budget Aktuell'!$K39</f>
        <v>0</v>
      </c>
      <c r="AF42" s="331">
        <f>'F1c Budget Neu'!$K39</f>
        <v>0</v>
      </c>
      <c r="AG42" s="869">
        <f>AF42*(1+'F0b Planungsparameter'!$I35)</f>
        <v>0</v>
      </c>
      <c r="AH42" s="869">
        <f>AG42*(1+'F0b Planungsparameter'!$J35)</f>
        <v>0</v>
      </c>
      <c r="AI42" s="869">
        <f>AH42*(1+'F0b Planungsparameter'!$K35)</f>
        <v>0</v>
      </c>
      <c r="AJ42" s="869">
        <f>AI42*(1+'F0b Planungsparameter'!$L35)</f>
        <v>0</v>
      </c>
      <c r="AK42" s="869">
        <f>AJ42*(1+'F0b Planungsparameter'!$M35)</f>
        <v>0</v>
      </c>
      <c r="AM42" s="424">
        <f>'F1b Budget Aktuell'!$L39</f>
        <v>0</v>
      </c>
      <c r="AN42" s="331">
        <f>'F1c Budget Neu'!$L39</f>
        <v>0</v>
      </c>
      <c r="AO42" s="869">
        <f>AN42*(1+'F0b Planungsparameter'!$I35)</f>
        <v>0</v>
      </c>
      <c r="AP42" s="869">
        <f>AO42*(1+'F0b Planungsparameter'!$J35)</f>
        <v>0</v>
      </c>
      <c r="AQ42" s="869">
        <f>AP42*(1+'F0b Planungsparameter'!$K35)</f>
        <v>0</v>
      </c>
      <c r="AR42" s="869">
        <f>AQ42*(1+'F0b Planungsparameter'!$L35)</f>
        <v>0</v>
      </c>
      <c r="AS42" s="869">
        <f>AR42*(1+'F0b Planungsparameter'!$M35)</f>
        <v>0</v>
      </c>
      <c r="AU42" s="424">
        <f>'F1b Budget Aktuell'!$M39</f>
        <v>0</v>
      </c>
      <c r="AV42" s="331">
        <f>'F1c Budget Neu'!$M39</f>
        <v>0</v>
      </c>
      <c r="AW42" s="869">
        <f>AV42*(1+'F0b Planungsparameter'!$I35)</f>
        <v>0</v>
      </c>
      <c r="AX42" s="869">
        <f>AW42*(1+'F0b Planungsparameter'!$J35)</f>
        <v>0</v>
      </c>
      <c r="AY42" s="869">
        <f>AX42*(1+'F0b Planungsparameter'!$K35)</f>
        <v>0</v>
      </c>
      <c r="AZ42" s="869">
        <f>AY42*(1+'F0b Planungsparameter'!$L35)</f>
        <v>0</v>
      </c>
      <c r="BA42" s="869">
        <f>AZ42*(1+'F0b Planungsparameter'!$M35)</f>
        <v>0</v>
      </c>
      <c r="BC42" s="424">
        <f>'F1b Budget Aktuell'!$N39</f>
        <v>19</v>
      </c>
      <c r="BD42" s="331">
        <f>'F1c Budget Neu'!$N39</f>
        <v>19</v>
      </c>
      <c r="BE42" s="869">
        <f>BD42*(1+'F0b Planungsparameter'!$I35)</f>
        <v>19.190000000000001</v>
      </c>
      <c r="BF42" s="869">
        <f>BE42*(1+'F0b Planungsparameter'!$J35)</f>
        <v>19.381900000000002</v>
      </c>
      <c r="BG42" s="869">
        <f>BF42*(1+'F0b Planungsparameter'!$K35)</f>
        <v>19.575719000000003</v>
      </c>
      <c r="BH42" s="869">
        <f>BG42*(1+'F0b Planungsparameter'!$L35)</f>
        <v>19.771476190000005</v>
      </c>
      <c r="BI42" s="869">
        <f>BH42*(1+'F0b Planungsparameter'!$M35)</f>
        <v>19.969190951900003</v>
      </c>
    </row>
    <row r="43" spans="2:71" ht="11.1" customHeight="1">
      <c r="B43" s="374">
        <v>41</v>
      </c>
      <c r="C43" s="383"/>
      <c r="D43" s="1412" t="s">
        <v>18</v>
      </c>
      <c r="E43" s="1412"/>
      <c r="F43" s="1413"/>
      <c r="G43" s="420">
        <f>'F1b Budget Aktuell'!G40</f>
        <v>290</v>
      </c>
      <c r="H43" s="423">
        <f>'F1c Budget Neu'!G40</f>
        <v>270</v>
      </c>
      <c r="I43" s="422">
        <f>H43*(1+'F0b Planungsparameter'!$I35)</f>
        <v>272.7</v>
      </c>
      <c r="J43" s="420">
        <f>I43*(1+'F0b Planungsparameter'!$J35)</f>
        <v>275.42699999999996</v>
      </c>
      <c r="K43" s="420">
        <f>J43*(1+'F0b Planungsparameter'!$K35)</f>
        <v>278.18126999999998</v>
      </c>
      <c r="L43" s="420">
        <f>K43*(1+'F0b Planungsparameter'!$L35)</f>
        <v>280.96308269999997</v>
      </c>
      <c r="M43" s="423">
        <f>L43*(1+'F0b Planungsparameter'!$M35)</f>
        <v>283.77271352699995</v>
      </c>
      <c r="N43" s="602" t="str">
        <f t="shared" si="75"/>
        <v/>
      </c>
      <c r="O43" s="420">
        <f>'F1b Budget Aktuell'!I40</f>
        <v>1</v>
      </c>
      <c r="P43" s="423">
        <f>'F1c Budget Neu'!I40</f>
        <v>1</v>
      </c>
      <c r="Q43" s="422">
        <f>P43*(1+'F0b Planungsparameter'!$I35)</f>
        <v>1.01</v>
      </c>
      <c r="R43" s="420">
        <f>Q43*(1+'F0b Planungsparameter'!$J35)</f>
        <v>1.0201</v>
      </c>
      <c r="S43" s="420">
        <f>R43*(1+'F0b Planungsparameter'!$K35)</f>
        <v>1.0303009999999999</v>
      </c>
      <c r="T43" s="420">
        <f>S43*(1+'F0b Planungsparameter'!$L35)</f>
        <v>1.04060401</v>
      </c>
      <c r="U43" s="423">
        <f>T43*(1+'F0b Planungsparameter'!$M35)</f>
        <v>1.0510100500999999</v>
      </c>
      <c r="W43" s="420">
        <f>'F1b Budget Aktuell'!$J40</f>
        <v>0</v>
      </c>
      <c r="X43" s="423">
        <f>'F1c Budget Neu'!$J40</f>
        <v>0</v>
      </c>
      <c r="Y43" s="422">
        <f>X43*(1+'F0b Planungsparameter'!$I35)</f>
        <v>0</v>
      </c>
      <c r="Z43" s="420">
        <f>Y43*(1+'F0b Planungsparameter'!$J35)</f>
        <v>0</v>
      </c>
      <c r="AA43" s="420">
        <f>Z43*(1+'F0b Planungsparameter'!$K35)</f>
        <v>0</v>
      </c>
      <c r="AB43" s="420">
        <f>AA43*(1+'F0b Planungsparameter'!$L35)</f>
        <v>0</v>
      </c>
      <c r="AC43" s="423">
        <f>AB43*(1+'F0b Planungsparameter'!$M35)</f>
        <v>0</v>
      </c>
      <c r="AE43" s="420">
        <f>'F1b Budget Aktuell'!$K40</f>
        <v>0</v>
      </c>
      <c r="AF43" s="423">
        <f>'F1c Budget Neu'!$K40</f>
        <v>0</v>
      </c>
      <c r="AG43" s="422">
        <f>AF43*(1+'F0b Planungsparameter'!$I35)</f>
        <v>0</v>
      </c>
      <c r="AH43" s="420">
        <f>AG43*(1+'F0b Planungsparameter'!$J35)</f>
        <v>0</v>
      </c>
      <c r="AI43" s="420">
        <f>AH43*(1+'F0b Planungsparameter'!$K35)</f>
        <v>0</v>
      </c>
      <c r="AJ43" s="420">
        <f>AI43*(1+'F0b Planungsparameter'!$L35)</f>
        <v>0</v>
      </c>
      <c r="AK43" s="423">
        <f>AJ43*(1+'F0b Planungsparameter'!$M35)</f>
        <v>0</v>
      </c>
      <c r="AM43" s="420">
        <f>'F1b Budget Aktuell'!$L40</f>
        <v>0</v>
      </c>
      <c r="AN43" s="423">
        <f>'F1c Budget Neu'!$L40</f>
        <v>0</v>
      </c>
      <c r="AO43" s="422">
        <f>AN43*(1+'F0b Planungsparameter'!$I35)</f>
        <v>0</v>
      </c>
      <c r="AP43" s="420">
        <f>AO43*(1+'F0b Planungsparameter'!$J35)</f>
        <v>0</v>
      </c>
      <c r="AQ43" s="420">
        <f>AP43*(1+'F0b Planungsparameter'!$K35)</f>
        <v>0</v>
      </c>
      <c r="AR43" s="420">
        <f>AQ43*(1+'F0b Planungsparameter'!$L35)</f>
        <v>0</v>
      </c>
      <c r="AS43" s="423">
        <f>AR43*(1+'F0b Planungsparameter'!$M35)</f>
        <v>0</v>
      </c>
      <c r="AU43" s="420">
        <f>'F1b Budget Aktuell'!$M40</f>
        <v>19</v>
      </c>
      <c r="AV43" s="423">
        <f>'F1c Budget Neu'!$M40</f>
        <v>19</v>
      </c>
      <c r="AW43" s="422">
        <f>AV43*(1+'F0b Planungsparameter'!$I35)</f>
        <v>19.190000000000001</v>
      </c>
      <c r="AX43" s="420">
        <f>AW43*(1+'F0b Planungsparameter'!$J35)</f>
        <v>19.381900000000002</v>
      </c>
      <c r="AY43" s="420">
        <f>AX43*(1+'F0b Planungsparameter'!$K35)</f>
        <v>19.575719000000003</v>
      </c>
      <c r="AZ43" s="420">
        <f>AY43*(1+'F0b Planungsparameter'!$L35)</f>
        <v>19.771476190000005</v>
      </c>
      <c r="BA43" s="423">
        <f>AZ43*(1+'F0b Planungsparameter'!$M35)</f>
        <v>19.969190951900003</v>
      </c>
      <c r="BC43" s="420">
        <f>'F1b Budget Aktuell'!$N40</f>
        <v>270</v>
      </c>
      <c r="BD43" s="423">
        <f>'F1c Budget Neu'!$N40</f>
        <v>250</v>
      </c>
      <c r="BE43" s="422">
        <f>BD43*(1+'F0b Planungsparameter'!$I35)</f>
        <v>252.5</v>
      </c>
      <c r="BF43" s="420">
        <f>BE43*(1+'F0b Planungsparameter'!$J35)</f>
        <v>255.02500000000001</v>
      </c>
      <c r="BG43" s="420">
        <f>BF43*(1+'F0b Planungsparameter'!$K35)</f>
        <v>257.57524999999998</v>
      </c>
      <c r="BH43" s="420">
        <f>BG43*(1+'F0b Planungsparameter'!$L35)</f>
        <v>260.1510025</v>
      </c>
      <c r="BI43" s="423">
        <f>BH43*(1+'F0b Planungsparameter'!$M35)</f>
        <v>262.75251252499999</v>
      </c>
    </row>
    <row r="44" spans="2:71" ht="11.1" customHeight="1">
      <c r="B44" s="374">
        <v>42</v>
      </c>
      <c r="C44" s="383"/>
      <c r="D44" s="1412" t="s">
        <v>19</v>
      </c>
      <c r="E44" s="1412"/>
      <c r="F44" s="1413"/>
      <c r="G44" s="420">
        <f>'F1b Budget Aktuell'!G41</f>
        <v>6272</v>
      </c>
      <c r="H44" s="423">
        <f>'F1c Budget Neu'!G41</f>
        <v>6478</v>
      </c>
      <c r="I44" s="422">
        <f>H44*(1+'F0b Planungsparameter'!$I24)</f>
        <v>6542.78</v>
      </c>
      <c r="J44" s="420">
        <f>I44*(1+'F0b Planungsparameter'!$J24)</f>
        <v>6608.2078000000001</v>
      </c>
      <c r="K44" s="420">
        <f>J44*(1+'F0b Planungsparameter'!$K24)</f>
        <v>6674.2898780000005</v>
      </c>
      <c r="L44" s="420">
        <f>K44*(1+'F0b Planungsparameter'!$L24)</f>
        <v>6741.0327767800009</v>
      </c>
      <c r="M44" s="423">
        <f>L44*(1+'F0b Planungsparameter'!$M24)</f>
        <v>6808.4431045478013</v>
      </c>
      <c r="N44" s="602" t="str">
        <f t="shared" si="75"/>
        <v/>
      </c>
      <c r="O44" s="420">
        <f>'F1b Budget Aktuell'!I41</f>
        <v>56</v>
      </c>
      <c r="P44" s="423">
        <f>'F1c Budget Neu'!I41</f>
        <v>39</v>
      </c>
      <c r="Q44" s="422">
        <f>P44*(1+'F0b Planungsparameter'!$I24)</f>
        <v>39.39</v>
      </c>
      <c r="R44" s="420">
        <f>Q44*(1+'F0b Planungsparameter'!$J24)</f>
        <v>39.783900000000003</v>
      </c>
      <c r="S44" s="420">
        <f>R44*(1+'F0b Planungsparameter'!$K24)</f>
        <v>40.181739</v>
      </c>
      <c r="T44" s="420">
        <f>S44*(1+'F0b Planungsparameter'!$L24)</f>
        <v>40.583556389999998</v>
      </c>
      <c r="U44" s="423">
        <f>T44*(1+'F0b Planungsparameter'!$M24)</f>
        <v>40.989391953899997</v>
      </c>
      <c r="W44" s="420">
        <f>'F1b Budget Aktuell'!$J41</f>
        <v>77</v>
      </c>
      <c r="X44" s="423">
        <f>'F1c Budget Neu'!$J41</f>
        <v>110</v>
      </c>
      <c r="Y44" s="422">
        <f>X44*(1+'F0b Planungsparameter'!$I24)</f>
        <v>111.1</v>
      </c>
      <c r="Z44" s="420">
        <f>Y44*(1+'F0b Planungsparameter'!$J24)</f>
        <v>112.211</v>
      </c>
      <c r="AA44" s="420">
        <f>Z44*(1+'F0b Planungsparameter'!$K24)</f>
        <v>113.33311</v>
      </c>
      <c r="AB44" s="420">
        <f>AA44*(1+'F0b Planungsparameter'!$L24)</f>
        <v>114.46644110000001</v>
      </c>
      <c r="AC44" s="423">
        <f>AB44*(1+'F0b Planungsparameter'!$M24)</f>
        <v>115.61110551100002</v>
      </c>
      <c r="AE44" s="420">
        <f>'F1b Budget Aktuell'!$K41</f>
        <v>2</v>
      </c>
      <c r="AF44" s="423">
        <f>'F1c Budget Neu'!$K41</f>
        <v>4</v>
      </c>
      <c r="AG44" s="422">
        <f>AF44*(1+'F0b Planungsparameter'!$I24)</f>
        <v>4.04</v>
      </c>
      <c r="AH44" s="420">
        <f>AG44*(1+'F0b Planungsparameter'!$J24)</f>
        <v>4.0804</v>
      </c>
      <c r="AI44" s="420">
        <f>AH44*(1+'F0b Planungsparameter'!$K24)</f>
        <v>4.1212039999999996</v>
      </c>
      <c r="AJ44" s="420">
        <f>AI44*(1+'F0b Planungsparameter'!$L24)</f>
        <v>4.1624160400000001</v>
      </c>
      <c r="AK44" s="423">
        <f>AJ44*(1+'F0b Planungsparameter'!$M24)</f>
        <v>4.2040402003999997</v>
      </c>
      <c r="AM44" s="420">
        <f>'F1b Budget Aktuell'!$L41</f>
        <v>4975</v>
      </c>
      <c r="AN44" s="423">
        <f>'F1c Budget Neu'!$L41</f>
        <v>5106</v>
      </c>
      <c r="AO44" s="422">
        <f>AN44*(1+'F0b Planungsparameter'!$I24)</f>
        <v>5157.0600000000004</v>
      </c>
      <c r="AP44" s="420">
        <f>AO44*(1+'F0b Planungsparameter'!$J24)</f>
        <v>5208.6306000000004</v>
      </c>
      <c r="AQ44" s="420">
        <f>AP44*(1+'F0b Planungsparameter'!$K24)</f>
        <v>5260.7169060000006</v>
      </c>
      <c r="AR44" s="420">
        <f>AQ44*(1+'F0b Planungsparameter'!$L24)</f>
        <v>5313.3240750600007</v>
      </c>
      <c r="AS44" s="423">
        <f>AR44*(1+'F0b Planungsparameter'!$M24)</f>
        <v>5366.4573158106004</v>
      </c>
      <c r="AU44" s="420">
        <f>'F1b Budget Aktuell'!$M41</f>
        <v>1113</v>
      </c>
      <c r="AV44" s="423">
        <f>'F1c Budget Neu'!$M41</f>
        <v>1168</v>
      </c>
      <c r="AW44" s="422">
        <f>AV44*(1+'F0b Planungsparameter'!$I24)</f>
        <v>1179.68</v>
      </c>
      <c r="AX44" s="420">
        <f>AW44*(1+'F0b Planungsparameter'!$J24)</f>
        <v>1191.4768000000001</v>
      </c>
      <c r="AY44" s="420">
        <f>AX44*(1+'F0b Planungsparameter'!$K24)</f>
        <v>1203.3915680000002</v>
      </c>
      <c r="AZ44" s="420">
        <f>AY44*(1+'F0b Planungsparameter'!$L24)</f>
        <v>1215.4254836800003</v>
      </c>
      <c r="BA44" s="423">
        <f>AZ44*(1+'F0b Planungsparameter'!$M24)</f>
        <v>1227.5797385168003</v>
      </c>
      <c r="BC44" s="420">
        <f>'F1b Budget Aktuell'!$N41</f>
        <v>49</v>
      </c>
      <c r="BD44" s="423">
        <f>'F1c Budget Neu'!$N41</f>
        <v>51</v>
      </c>
      <c r="BE44" s="422">
        <f>BD44*(1+'F0b Planungsparameter'!$I24)</f>
        <v>51.51</v>
      </c>
      <c r="BF44" s="420">
        <f>BE44*(1+'F0b Planungsparameter'!$J24)</f>
        <v>52.025100000000002</v>
      </c>
      <c r="BG44" s="420">
        <f>BF44*(1+'F0b Planungsparameter'!$K24)</f>
        <v>52.545351000000004</v>
      </c>
      <c r="BH44" s="420">
        <f>BG44*(1+'F0b Planungsparameter'!$L24)</f>
        <v>53.070804510000002</v>
      </c>
      <c r="BI44" s="423">
        <f>BH44*(1+'F0b Planungsparameter'!$M24)</f>
        <v>53.601512555100001</v>
      </c>
    </row>
    <row r="45" spans="2:71" ht="11.1" customHeight="1">
      <c r="B45" s="374">
        <v>43</v>
      </c>
      <c r="C45" s="383"/>
      <c r="D45" s="1412" t="s">
        <v>94</v>
      </c>
      <c r="E45" s="1412"/>
      <c r="F45" s="1413"/>
      <c r="G45" s="420">
        <f>'F1b Budget Aktuell'!G42</f>
        <v>100</v>
      </c>
      <c r="H45" s="423">
        <f>'F1c Budget Neu'!G42</f>
        <v>170</v>
      </c>
      <c r="I45" s="422">
        <f>H45</f>
        <v>170</v>
      </c>
      <c r="J45" s="420">
        <f t="shared" ref="J45:M47" si="82">I45</f>
        <v>170</v>
      </c>
      <c r="K45" s="420">
        <f t="shared" si="82"/>
        <v>170</v>
      </c>
      <c r="L45" s="420">
        <f t="shared" si="82"/>
        <v>170</v>
      </c>
      <c r="M45" s="423">
        <f t="shared" si="82"/>
        <v>170</v>
      </c>
      <c r="N45" s="602" t="str">
        <f t="shared" si="75"/>
        <v/>
      </c>
      <c r="O45" s="420">
        <f>'F1b Budget Aktuell'!I42</f>
        <v>24</v>
      </c>
      <c r="P45" s="423">
        <f>'F1c Budget Neu'!I42</f>
        <v>24</v>
      </c>
      <c r="Q45" s="422">
        <f>P45</f>
        <v>24</v>
      </c>
      <c r="R45" s="420">
        <f t="shared" ref="R45:U47" si="83">Q45</f>
        <v>24</v>
      </c>
      <c r="S45" s="420">
        <f t="shared" si="83"/>
        <v>24</v>
      </c>
      <c r="T45" s="420">
        <f t="shared" si="83"/>
        <v>24</v>
      </c>
      <c r="U45" s="423">
        <f t="shared" si="83"/>
        <v>24</v>
      </c>
      <c r="W45" s="420">
        <f>'F1b Budget Aktuell'!$J42</f>
        <v>0</v>
      </c>
      <c r="X45" s="423">
        <f>'F1c Budget Neu'!$J42</f>
        <v>0</v>
      </c>
      <c r="Y45" s="422">
        <f>X45</f>
        <v>0</v>
      </c>
      <c r="Z45" s="420">
        <f t="shared" ref="Z45:Z47" si="84">Y45</f>
        <v>0</v>
      </c>
      <c r="AA45" s="420">
        <f t="shared" ref="AA45:AA47" si="85">Z45</f>
        <v>0</v>
      </c>
      <c r="AB45" s="420">
        <f t="shared" ref="AB45:AB47" si="86">AA45</f>
        <v>0</v>
      </c>
      <c r="AC45" s="423">
        <f t="shared" ref="AC45:AC47" si="87">AB45</f>
        <v>0</v>
      </c>
      <c r="AE45" s="420">
        <f>'F1b Budget Aktuell'!$K42</f>
        <v>0</v>
      </c>
      <c r="AF45" s="423">
        <f>'F1c Budget Neu'!$K42</f>
        <v>0</v>
      </c>
      <c r="AG45" s="422">
        <f>AF45</f>
        <v>0</v>
      </c>
      <c r="AH45" s="420">
        <f t="shared" ref="AH45:AH47" si="88">AG45</f>
        <v>0</v>
      </c>
      <c r="AI45" s="420">
        <f t="shared" ref="AI45:AI47" si="89">AH45</f>
        <v>0</v>
      </c>
      <c r="AJ45" s="420">
        <f t="shared" ref="AJ45:AJ47" si="90">AI45</f>
        <v>0</v>
      </c>
      <c r="AK45" s="423">
        <f t="shared" ref="AK45:AK47" si="91">AJ45</f>
        <v>0</v>
      </c>
      <c r="AM45" s="420">
        <f>'F1b Budget Aktuell'!$L42</f>
        <v>71</v>
      </c>
      <c r="AN45" s="423">
        <f>'F1c Budget Neu'!$L42</f>
        <v>141</v>
      </c>
      <c r="AO45" s="422">
        <f>AN45</f>
        <v>141</v>
      </c>
      <c r="AP45" s="420">
        <f t="shared" ref="AP45:AP47" si="92">AO45</f>
        <v>141</v>
      </c>
      <c r="AQ45" s="420">
        <f t="shared" ref="AQ45:AQ47" si="93">AP45</f>
        <v>141</v>
      </c>
      <c r="AR45" s="420">
        <f t="shared" ref="AR45:AR47" si="94">AQ45</f>
        <v>141</v>
      </c>
      <c r="AS45" s="423">
        <f t="shared" ref="AS45:AS47" si="95">AR45</f>
        <v>141</v>
      </c>
      <c r="AU45" s="420">
        <f>'F1b Budget Aktuell'!$M42</f>
        <v>5</v>
      </c>
      <c r="AV45" s="423">
        <f>'F1c Budget Neu'!$M42</f>
        <v>5</v>
      </c>
      <c r="AW45" s="422">
        <f>AV45</f>
        <v>5</v>
      </c>
      <c r="AX45" s="420">
        <f t="shared" ref="AX45:AX47" si="96">AW45</f>
        <v>5</v>
      </c>
      <c r="AY45" s="420">
        <f t="shared" ref="AY45:AY47" si="97">AX45</f>
        <v>5</v>
      </c>
      <c r="AZ45" s="420">
        <f t="shared" ref="AZ45:AZ47" si="98">AY45</f>
        <v>5</v>
      </c>
      <c r="BA45" s="423">
        <f t="shared" ref="BA45:BA47" si="99">AZ45</f>
        <v>5</v>
      </c>
      <c r="BC45" s="420">
        <f>'F1b Budget Aktuell'!$N42</f>
        <v>0</v>
      </c>
      <c r="BD45" s="423">
        <f>'F1c Budget Neu'!$N42</f>
        <v>0</v>
      </c>
      <c r="BE45" s="422">
        <f>BD45</f>
        <v>0</v>
      </c>
      <c r="BF45" s="420">
        <f t="shared" ref="BF45:BF47" si="100">BE45</f>
        <v>0</v>
      </c>
      <c r="BG45" s="420">
        <f t="shared" ref="BG45:BG47" si="101">BF45</f>
        <v>0</v>
      </c>
      <c r="BH45" s="420">
        <f t="shared" ref="BH45:BH47" si="102">BG45</f>
        <v>0</v>
      </c>
      <c r="BI45" s="423">
        <f t="shared" ref="BI45:BI47" si="103">BH45</f>
        <v>0</v>
      </c>
    </row>
    <row r="46" spans="2:71" s="660" customFormat="1" ht="11.1" customHeight="1">
      <c r="B46" s="661">
        <v>44</v>
      </c>
      <c r="C46" s="667"/>
      <c r="D46" s="1428" t="s">
        <v>95</v>
      </c>
      <c r="E46" s="1428"/>
      <c r="F46" s="1429"/>
      <c r="G46" s="420">
        <f>'F1b Budget Aktuell'!G43</f>
        <v>60</v>
      </c>
      <c r="H46" s="423">
        <f>'F1c Budget Neu'!G43</f>
        <v>54</v>
      </c>
      <c r="I46" s="422">
        <f>H46-H48-H49</f>
        <v>42</v>
      </c>
      <c r="J46" s="423">
        <f t="shared" si="82"/>
        <v>42</v>
      </c>
      <c r="K46" s="423">
        <f t="shared" si="82"/>
        <v>42</v>
      </c>
      <c r="L46" s="423">
        <f t="shared" si="82"/>
        <v>42</v>
      </c>
      <c r="M46" s="423">
        <f t="shared" si="82"/>
        <v>42</v>
      </c>
      <c r="N46" s="602" t="str">
        <f t="shared" si="75"/>
        <v/>
      </c>
      <c r="O46" s="420">
        <f>'F1b Budget Aktuell'!$I43</f>
        <v>1</v>
      </c>
      <c r="P46" s="423">
        <f>'F1c Budget Neu'!$I43</f>
        <v>1</v>
      </c>
      <c r="Q46" s="422">
        <f>P46-P48-P49</f>
        <v>1</v>
      </c>
      <c r="R46" s="423">
        <f t="shared" si="83"/>
        <v>1</v>
      </c>
      <c r="S46" s="423">
        <f t="shared" si="83"/>
        <v>1</v>
      </c>
      <c r="T46" s="423">
        <f t="shared" si="83"/>
        <v>1</v>
      </c>
      <c r="U46" s="423">
        <f t="shared" si="83"/>
        <v>1</v>
      </c>
      <c r="W46" s="420">
        <f>'F1b Budget Aktuell'!$J43</f>
        <v>31</v>
      </c>
      <c r="X46" s="423">
        <f>'F1c Budget Neu'!$J43</f>
        <v>31</v>
      </c>
      <c r="Y46" s="422">
        <f>X46-X48-X49</f>
        <v>31</v>
      </c>
      <c r="Z46" s="423">
        <f t="shared" si="84"/>
        <v>31</v>
      </c>
      <c r="AA46" s="423">
        <f t="shared" si="85"/>
        <v>31</v>
      </c>
      <c r="AB46" s="423">
        <f t="shared" si="86"/>
        <v>31</v>
      </c>
      <c r="AC46" s="423">
        <f t="shared" si="87"/>
        <v>31</v>
      </c>
      <c r="AE46" s="420">
        <f>'F1b Budget Aktuell'!$K43</f>
        <v>0</v>
      </c>
      <c r="AF46" s="423">
        <f>'F1c Budget Neu'!$K43</f>
        <v>0</v>
      </c>
      <c r="AG46" s="422">
        <f>AF46-AF48-AF49</f>
        <v>0</v>
      </c>
      <c r="AH46" s="423">
        <f t="shared" si="88"/>
        <v>0</v>
      </c>
      <c r="AI46" s="423">
        <f t="shared" si="89"/>
        <v>0</v>
      </c>
      <c r="AJ46" s="423">
        <f t="shared" si="90"/>
        <v>0</v>
      </c>
      <c r="AK46" s="423">
        <f t="shared" si="91"/>
        <v>0</v>
      </c>
      <c r="AM46" s="420">
        <f>'F1b Budget Aktuell'!$L43</f>
        <v>0</v>
      </c>
      <c r="AN46" s="423">
        <f>'F1c Budget Neu'!$L43</f>
        <v>0</v>
      </c>
      <c r="AO46" s="422">
        <f>AN46-AN48-AN49</f>
        <v>0</v>
      </c>
      <c r="AP46" s="423">
        <f t="shared" si="92"/>
        <v>0</v>
      </c>
      <c r="AQ46" s="423">
        <f t="shared" si="93"/>
        <v>0</v>
      </c>
      <c r="AR46" s="423">
        <f t="shared" si="94"/>
        <v>0</v>
      </c>
      <c r="AS46" s="423">
        <f t="shared" si="95"/>
        <v>0</v>
      </c>
      <c r="AU46" s="420">
        <f>'F1b Budget Aktuell'!$M43</f>
        <v>0</v>
      </c>
      <c r="AV46" s="423">
        <f>'F1c Budget Neu'!$M43</f>
        <v>1</v>
      </c>
      <c r="AW46" s="422">
        <f>AV46-AV48-AV49</f>
        <v>1</v>
      </c>
      <c r="AX46" s="423">
        <f t="shared" si="96"/>
        <v>1</v>
      </c>
      <c r="AY46" s="423">
        <f t="shared" si="97"/>
        <v>1</v>
      </c>
      <c r="AZ46" s="423">
        <f t="shared" si="98"/>
        <v>1</v>
      </c>
      <c r="BA46" s="423">
        <f t="shared" si="99"/>
        <v>1</v>
      </c>
      <c r="BC46" s="420">
        <f>'F1b Budget Aktuell'!$N43</f>
        <v>28</v>
      </c>
      <c r="BD46" s="423">
        <f>'F1c Budget Neu'!$N43</f>
        <v>21</v>
      </c>
      <c r="BE46" s="422">
        <f>BD46-BD48-BD49</f>
        <v>9</v>
      </c>
      <c r="BF46" s="423">
        <f t="shared" si="100"/>
        <v>9</v>
      </c>
      <c r="BG46" s="423">
        <f t="shared" si="101"/>
        <v>9</v>
      </c>
      <c r="BH46" s="423">
        <f t="shared" si="102"/>
        <v>9</v>
      </c>
      <c r="BI46" s="423">
        <f t="shared" si="103"/>
        <v>9</v>
      </c>
    </row>
    <row r="47" spans="2:71" s="660" customFormat="1" ht="11.1" customHeight="1">
      <c r="B47" s="661"/>
      <c r="C47" s="662">
        <v>440</v>
      </c>
      <c r="D47" s="663" t="s">
        <v>358</v>
      </c>
      <c r="E47" s="663"/>
      <c r="F47" s="1260"/>
      <c r="G47" s="646">
        <f>'F1b Budget Aktuell'!$G44</f>
        <v>16</v>
      </c>
      <c r="H47" s="867">
        <f>'F1c Budget Neu'!$G44</f>
        <v>11</v>
      </c>
      <c r="I47" s="867">
        <f>H47</f>
        <v>11</v>
      </c>
      <c r="J47" s="867">
        <f t="shared" si="82"/>
        <v>11</v>
      </c>
      <c r="K47" s="867">
        <f t="shared" si="82"/>
        <v>11</v>
      </c>
      <c r="L47" s="867">
        <f t="shared" si="82"/>
        <v>11</v>
      </c>
      <c r="M47" s="867">
        <f t="shared" si="82"/>
        <v>11</v>
      </c>
      <c r="N47" s="602"/>
      <c r="O47" s="646">
        <f>'F1b Budget Aktuell'!$I44</f>
        <v>0</v>
      </c>
      <c r="P47" s="867">
        <f>'F1c Budget Neu'!$I44</f>
        <v>0</v>
      </c>
      <c r="Q47" s="648">
        <f>P47</f>
        <v>0</v>
      </c>
      <c r="R47" s="649">
        <f t="shared" si="83"/>
        <v>0</v>
      </c>
      <c r="S47" s="649">
        <f t="shared" si="83"/>
        <v>0</v>
      </c>
      <c r="T47" s="649">
        <f t="shared" si="83"/>
        <v>0</v>
      </c>
      <c r="U47" s="595">
        <f t="shared" si="83"/>
        <v>0</v>
      </c>
      <c r="V47" s="665"/>
      <c r="W47" s="646">
        <f>'F1b Budget Aktuell'!$J44</f>
        <v>0</v>
      </c>
      <c r="X47" s="867">
        <f>'F1c Budget Neu'!$J44</f>
        <v>0</v>
      </c>
      <c r="Y47" s="648">
        <f>X47</f>
        <v>0</v>
      </c>
      <c r="Z47" s="649">
        <f t="shared" si="84"/>
        <v>0</v>
      </c>
      <c r="AA47" s="649">
        <f t="shared" si="85"/>
        <v>0</v>
      </c>
      <c r="AB47" s="649">
        <f t="shared" si="86"/>
        <v>0</v>
      </c>
      <c r="AC47" s="595">
        <f t="shared" si="87"/>
        <v>0</v>
      </c>
      <c r="AD47" s="665"/>
      <c r="AE47" s="646">
        <f>'F1b Budget Aktuell'!$K44</f>
        <v>0</v>
      </c>
      <c r="AF47" s="867">
        <f>'F1c Budget Neu'!$K44</f>
        <v>0</v>
      </c>
      <c r="AG47" s="648">
        <f>AF47</f>
        <v>0</v>
      </c>
      <c r="AH47" s="649">
        <f t="shared" si="88"/>
        <v>0</v>
      </c>
      <c r="AI47" s="649">
        <f t="shared" si="89"/>
        <v>0</v>
      </c>
      <c r="AJ47" s="649">
        <f t="shared" si="90"/>
        <v>0</v>
      </c>
      <c r="AK47" s="595">
        <f t="shared" si="91"/>
        <v>0</v>
      </c>
      <c r="AL47" s="665"/>
      <c r="AM47" s="646">
        <f>'F1b Budget Aktuell'!$L44</f>
        <v>0</v>
      </c>
      <c r="AN47" s="867">
        <f>'F1c Budget Neu'!$L44</f>
        <v>0</v>
      </c>
      <c r="AO47" s="648">
        <f>AN47</f>
        <v>0</v>
      </c>
      <c r="AP47" s="649">
        <f t="shared" si="92"/>
        <v>0</v>
      </c>
      <c r="AQ47" s="649">
        <f t="shared" si="93"/>
        <v>0</v>
      </c>
      <c r="AR47" s="649">
        <f t="shared" si="94"/>
        <v>0</v>
      </c>
      <c r="AS47" s="595">
        <f t="shared" si="95"/>
        <v>0</v>
      </c>
      <c r="AT47" s="665"/>
      <c r="AU47" s="646">
        <f>'F1b Budget Aktuell'!$M44</f>
        <v>0</v>
      </c>
      <c r="AV47" s="867">
        <f>'F1c Budget Neu'!$M44</f>
        <v>0</v>
      </c>
      <c r="AW47" s="648">
        <f>AV47</f>
        <v>0</v>
      </c>
      <c r="AX47" s="649">
        <f t="shared" si="96"/>
        <v>0</v>
      </c>
      <c r="AY47" s="649">
        <f t="shared" si="97"/>
        <v>0</v>
      </c>
      <c r="AZ47" s="649">
        <f t="shared" si="98"/>
        <v>0</v>
      </c>
      <c r="BA47" s="595">
        <f t="shared" si="99"/>
        <v>0</v>
      </c>
      <c r="BB47" s="665"/>
      <c r="BC47" s="646">
        <f>'F1b Budget Aktuell'!$N44</f>
        <v>16</v>
      </c>
      <c r="BD47" s="867">
        <f>'F1c Budget Neu'!$N44</f>
        <v>11</v>
      </c>
      <c r="BE47" s="648">
        <f>BD47</f>
        <v>11</v>
      </c>
      <c r="BF47" s="649">
        <f t="shared" si="100"/>
        <v>11</v>
      </c>
      <c r="BG47" s="649">
        <f t="shared" si="101"/>
        <v>11</v>
      </c>
      <c r="BH47" s="649">
        <f t="shared" si="102"/>
        <v>11</v>
      </c>
      <c r="BI47" s="595">
        <f t="shared" si="103"/>
        <v>11</v>
      </c>
      <c r="BJ47" s="665"/>
      <c r="BK47" s="665"/>
    </row>
    <row r="48" spans="2:71" ht="11.1" customHeight="1">
      <c r="B48" s="374"/>
      <c r="C48" s="603">
        <v>441</v>
      </c>
      <c r="D48" s="635" t="s">
        <v>211</v>
      </c>
      <c r="E48" s="635"/>
      <c r="F48" s="636"/>
      <c r="G48" s="646">
        <f>'F1b Budget Aktuell'!$G45</f>
        <v>0</v>
      </c>
      <c r="H48" s="867">
        <f>'F1c Budget Neu'!$G45</f>
        <v>0</v>
      </c>
      <c r="I48" s="648"/>
      <c r="J48" s="649"/>
      <c r="K48" s="649"/>
      <c r="L48" s="649"/>
      <c r="M48" s="595"/>
      <c r="N48" s="602" t="str">
        <f t="shared" ref="N48:N61" si="104">IF(SUM(G48:M48)=SUM(O48:YS48),"",SUM(O48:YS48)-SUM(G48:M48))</f>
        <v/>
      </c>
      <c r="O48" s="646">
        <f>'F1b Budget Aktuell'!$I45</f>
        <v>0</v>
      </c>
      <c r="P48" s="867">
        <f>'F1c Budget Neu'!$I45</f>
        <v>0</v>
      </c>
      <c r="Q48" s="648"/>
      <c r="R48" s="649"/>
      <c r="S48" s="649"/>
      <c r="T48" s="649"/>
      <c r="U48" s="595"/>
      <c r="V48" s="665"/>
      <c r="W48" s="646">
        <f>'F1b Budget Aktuell'!$J45</f>
        <v>0</v>
      </c>
      <c r="X48" s="867">
        <f>'F1c Budget Neu'!$J45</f>
        <v>0</v>
      </c>
      <c r="Y48" s="648"/>
      <c r="Z48" s="649"/>
      <c r="AA48" s="649"/>
      <c r="AB48" s="649"/>
      <c r="AC48" s="595"/>
      <c r="AD48" s="665"/>
      <c r="AE48" s="646">
        <f>'F1b Budget Aktuell'!$K45</f>
        <v>0</v>
      </c>
      <c r="AF48" s="867">
        <f>'F1c Budget Neu'!$K45</f>
        <v>0</v>
      </c>
      <c r="AG48" s="648"/>
      <c r="AH48" s="649"/>
      <c r="AI48" s="649"/>
      <c r="AJ48" s="649"/>
      <c r="AK48" s="595"/>
      <c r="AL48" s="665"/>
      <c r="AM48" s="646">
        <f>'F1b Budget Aktuell'!$L45</f>
        <v>0</v>
      </c>
      <c r="AN48" s="867">
        <f>'F1c Budget Neu'!$L45</f>
        <v>0</v>
      </c>
      <c r="AO48" s="648"/>
      <c r="AP48" s="649"/>
      <c r="AQ48" s="649"/>
      <c r="AR48" s="649"/>
      <c r="AS48" s="595"/>
      <c r="AT48" s="665"/>
      <c r="AU48" s="646">
        <f>'F1b Budget Aktuell'!$M45</f>
        <v>0</v>
      </c>
      <c r="AV48" s="867">
        <f>'F1c Budget Neu'!$M45</f>
        <v>0</v>
      </c>
      <c r="AW48" s="648"/>
      <c r="AX48" s="649"/>
      <c r="AY48" s="649"/>
      <c r="AZ48" s="649"/>
      <c r="BA48" s="595"/>
      <c r="BB48" s="665"/>
      <c r="BC48" s="646">
        <f>'F1b Budget Aktuell'!$N45</f>
        <v>0</v>
      </c>
      <c r="BD48" s="867">
        <f>'F1c Budget Neu'!$N45</f>
        <v>0</v>
      </c>
      <c r="BE48" s="648"/>
      <c r="BF48" s="649"/>
      <c r="BG48" s="649"/>
      <c r="BH48" s="649"/>
      <c r="BI48" s="595"/>
      <c r="BJ48" s="665"/>
      <c r="BK48" s="665"/>
      <c r="BL48" s="665"/>
    </row>
    <row r="49" spans="2:64" ht="11.1" customHeight="1">
      <c r="B49" s="374"/>
      <c r="C49" s="603" t="s">
        <v>207</v>
      </c>
      <c r="D49" s="635" t="s">
        <v>208</v>
      </c>
      <c r="E49" s="635"/>
      <c r="F49" s="636"/>
      <c r="G49" s="646">
        <f>'F1b Budget Aktuell'!$G46</f>
        <v>44</v>
      </c>
      <c r="H49" s="867">
        <f>'F1c Budget Neu'!$G46</f>
        <v>12</v>
      </c>
      <c r="I49" s="648"/>
      <c r="J49" s="649"/>
      <c r="K49" s="649"/>
      <c r="L49" s="649"/>
      <c r="M49" s="595"/>
      <c r="N49" s="602" t="str">
        <f t="shared" si="104"/>
        <v/>
      </c>
      <c r="O49" s="646">
        <f>'F1b Budget Aktuell'!$I46</f>
        <v>0</v>
      </c>
      <c r="P49" s="867">
        <f>'F1c Budget Neu'!$I46</f>
        <v>0</v>
      </c>
      <c r="Q49" s="648"/>
      <c r="R49" s="649"/>
      <c r="S49" s="649"/>
      <c r="T49" s="649"/>
      <c r="U49" s="595"/>
      <c r="V49" s="665"/>
      <c r="W49" s="646">
        <f>'F1b Budget Aktuell'!$J46</f>
        <v>0</v>
      </c>
      <c r="X49" s="867">
        <f>'F1c Budget Neu'!$J46</f>
        <v>0</v>
      </c>
      <c r="Y49" s="648"/>
      <c r="Z49" s="649"/>
      <c r="AA49" s="649"/>
      <c r="AB49" s="649"/>
      <c r="AC49" s="595"/>
      <c r="AD49" s="665"/>
      <c r="AE49" s="646">
        <f>'F1b Budget Aktuell'!$K46</f>
        <v>0</v>
      </c>
      <c r="AF49" s="867">
        <f>'F1c Budget Neu'!$K46</f>
        <v>0</v>
      </c>
      <c r="AG49" s="648"/>
      <c r="AH49" s="649"/>
      <c r="AI49" s="649"/>
      <c r="AJ49" s="649"/>
      <c r="AK49" s="595"/>
      <c r="AL49" s="665"/>
      <c r="AM49" s="646">
        <f>'F1b Budget Aktuell'!$L46</f>
        <v>0</v>
      </c>
      <c r="AN49" s="867">
        <f>'F1c Budget Neu'!$L46</f>
        <v>0</v>
      </c>
      <c r="AO49" s="648"/>
      <c r="AP49" s="649"/>
      <c r="AQ49" s="649"/>
      <c r="AR49" s="649"/>
      <c r="AS49" s="595"/>
      <c r="AT49" s="665"/>
      <c r="AU49" s="646">
        <f>'F1b Budget Aktuell'!$M46</f>
        <v>0</v>
      </c>
      <c r="AV49" s="867">
        <f>'F1c Budget Neu'!$M46</f>
        <v>0</v>
      </c>
      <c r="AW49" s="648"/>
      <c r="AX49" s="649"/>
      <c r="AY49" s="649"/>
      <c r="AZ49" s="649"/>
      <c r="BA49" s="595"/>
      <c r="BB49" s="665"/>
      <c r="BC49" s="646">
        <f>'F1b Budget Aktuell'!$N46</f>
        <v>44</v>
      </c>
      <c r="BD49" s="867">
        <f>'F1c Budget Neu'!$N46</f>
        <v>12</v>
      </c>
      <c r="BE49" s="648"/>
      <c r="BF49" s="649"/>
      <c r="BG49" s="649"/>
      <c r="BH49" s="649"/>
      <c r="BI49" s="595"/>
      <c r="BJ49" s="665"/>
      <c r="BK49" s="665"/>
      <c r="BL49" s="665"/>
    </row>
    <row r="50" spans="2:64" s="660" customFormat="1" ht="11.1" customHeight="1">
      <c r="B50" s="661">
        <v>45</v>
      </c>
      <c r="C50" s="667"/>
      <c r="D50" s="1428" t="s">
        <v>96</v>
      </c>
      <c r="E50" s="1428"/>
      <c r="F50" s="1429"/>
      <c r="G50" s="420">
        <f>'F1b Budget Aktuell'!G47</f>
        <v>424</v>
      </c>
      <c r="H50" s="423">
        <f>'F1c Budget Neu'!G47</f>
        <v>336</v>
      </c>
      <c r="I50" s="590"/>
      <c r="J50" s="649" t="s">
        <v>333</v>
      </c>
      <c r="K50" s="591"/>
      <c r="L50" s="591"/>
      <c r="M50" s="591"/>
      <c r="N50" s="602" t="str">
        <f t="shared" si="104"/>
        <v/>
      </c>
      <c r="O50" s="420">
        <f>'F1b Budget Aktuell'!$I47</f>
        <v>0</v>
      </c>
      <c r="P50" s="423">
        <f>'F1c Budget Neu'!$I47</f>
        <v>0</v>
      </c>
      <c r="Q50" s="590"/>
      <c r="R50" s="589"/>
      <c r="S50" s="591"/>
      <c r="T50" s="591"/>
      <c r="U50" s="591"/>
      <c r="W50" s="420">
        <f>'F1b Budget Aktuell'!$J47</f>
        <v>0</v>
      </c>
      <c r="X50" s="423">
        <f>'F1c Budget Neu'!$J47</f>
        <v>0</v>
      </c>
      <c r="Y50" s="590"/>
      <c r="Z50" s="589"/>
      <c r="AA50" s="591"/>
      <c r="AB50" s="591"/>
      <c r="AC50" s="591"/>
      <c r="AE50" s="420">
        <f>'F1b Budget Aktuell'!$K47</f>
        <v>0</v>
      </c>
      <c r="AF50" s="423">
        <f>'F1c Budget Neu'!$K47</f>
        <v>0</v>
      </c>
      <c r="AG50" s="590"/>
      <c r="AH50" s="589"/>
      <c r="AI50" s="591"/>
      <c r="AJ50" s="591"/>
      <c r="AK50" s="591"/>
      <c r="AM50" s="420">
        <f>'F1b Budget Aktuell'!$L47</f>
        <v>49</v>
      </c>
      <c r="AN50" s="423">
        <f>'F1c Budget Neu'!$L47</f>
        <v>0</v>
      </c>
      <c r="AO50" s="590"/>
      <c r="AP50" s="589"/>
      <c r="AQ50" s="591"/>
      <c r="AR50" s="591"/>
      <c r="AS50" s="591"/>
      <c r="AU50" s="420">
        <f>'F1b Budget Aktuell'!$M47</f>
        <v>375</v>
      </c>
      <c r="AV50" s="423">
        <f>'F1c Budget Neu'!$M47</f>
        <v>336</v>
      </c>
      <c r="AW50" s="590"/>
      <c r="AX50" s="589"/>
      <c r="AY50" s="591"/>
      <c r="AZ50" s="591"/>
      <c r="BA50" s="591"/>
      <c r="BC50" s="420">
        <f>'F1b Budget Aktuell'!$N47</f>
        <v>0</v>
      </c>
      <c r="BD50" s="423">
        <f>'F1c Budget Neu'!$N47</f>
        <v>0</v>
      </c>
      <c r="BE50" s="590"/>
      <c r="BF50" s="589"/>
      <c r="BG50" s="591"/>
      <c r="BH50" s="591"/>
      <c r="BI50" s="591"/>
    </row>
    <row r="51" spans="2:64" s="660" customFormat="1" ht="11.1" customHeight="1">
      <c r="B51" s="661"/>
      <c r="C51" s="662">
        <v>450</v>
      </c>
      <c r="D51" s="663" t="s">
        <v>199</v>
      </c>
      <c r="E51" s="663"/>
      <c r="F51" s="664"/>
      <c r="G51" s="646">
        <f>'F1b Budget Aktuell'!$G48</f>
        <v>8</v>
      </c>
      <c r="H51" s="867">
        <f>'F1c Budget Neu'!$G48</f>
        <v>5</v>
      </c>
      <c r="I51" s="590"/>
      <c r="J51" s="649" t="s">
        <v>333</v>
      </c>
      <c r="K51" s="591"/>
      <c r="L51" s="591"/>
      <c r="M51" s="591"/>
      <c r="N51" s="602" t="str">
        <f t="shared" si="104"/>
        <v/>
      </c>
      <c r="O51" s="646">
        <f>'F1b Budget Aktuell'!$I48</f>
        <v>0</v>
      </c>
      <c r="P51" s="867">
        <f>'F1c Budget Neu'!$I48</f>
        <v>0</v>
      </c>
      <c r="Q51" s="590"/>
      <c r="R51" s="589"/>
      <c r="S51" s="591"/>
      <c r="T51" s="591"/>
      <c r="U51" s="591"/>
      <c r="V51" s="665"/>
      <c r="W51" s="646">
        <f>'F1b Budget Aktuell'!$J48</f>
        <v>0</v>
      </c>
      <c r="X51" s="867">
        <f>'F1c Budget Neu'!$J48</f>
        <v>0</v>
      </c>
      <c r="Y51" s="590"/>
      <c r="Z51" s="589"/>
      <c r="AA51" s="591"/>
      <c r="AB51" s="591"/>
      <c r="AC51" s="591"/>
      <c r="AD51" s="665"/>
      <c r="AE51" s="646">
        <f>'F1b Budget Aktuell'!$K48</f>
        <v>0</v>
      </c>
      <c r="AF51" s="867">
        <f>'F1c Budget Neu'!$K48</f>
        <v>0</v>
      </c>
      <c r="AG51" s="590"/>
      <c r="AH51" s="589"/>
      <c r="AI51" s="591"/>
      <c r="AJ51" s="591"/>
      <c r="AK51" s="591"/>
      <c r="AL51" s="665"/>
      <c r="AM51" s="646">
        <f>'F1b Budget Aktuell'!$L48</f>
        <v>0</v>
      </c>
      <c r="AN51" s="867">
        <f>'F1c Budget Neu'!$L48</f>
        <v>0</v>
      </c>
      <c r="AO51" s="590"/>
      <c r="AP51" s="589"/>
      <c r="AQ51" s="591"/>
      <c r="AR51" s="591"/>
      <c r="AS51" s="591"/>
      <c r="AT51" s="665"/>
      <c r="AU51" s="646">
        <f>'F1b Budget Aktuell'!$M48</f>
        <v>8</v>
      </c>
      <c r="AV51" s="867">
        <f>'F1c Budget Neu'!$M48</f>
        <v>5</v>
      </c>
      <c r="AW51" s="590"/>
      <c r="AX51" s="589"/>
      <c r="AY51" s="591"/>
      <c r="AZ51" s="591"/>
      <c r="BA51" s="591"/>
      <c r="BB51" s="665"/>
      <c r="BC51" s="646">
        <f>'F1b Budget Aktuell'!$N48</f>
        <v>0</v>
      </c>
      <c r="BD51" s="867">
        <f>'F1c Budget Neu'!$N48</f>
        <v>0</v>
      </c>
      <c r="BE51" s="590"/>
      <c r="BF51" s="589"/>
      <c r="BG51" s="591"/>
      <c r="BH51" s="591"/>
      <c r="BI51" s="591"/>
      <c r="BJ51" s="665"/>
      <c r="BK51" s="665"/>
      <c r="BL51" s="665"/>
    </row>
    <row r="52" spans="2:64" s="660" customFormat="1" ht="11.1" customHeight="1">
      <c r="B52" s="661"/>
      <c r="C52" s="662">
        <v>4510</v>
      </c>
      <c r="D52" s="663" t="s">
        <v>204</v>
      </c>
      <c r="E52" s="663"/>
      <c r="F52" s="664"/>
      <c r="G52" s="646">
        <f>'F1b Budget Aktuell'!$G49</f>
        <v>417</v>
      </c>
      <c r="H52" s="867">
        <f>'F1c Budget Neu'!$G49</f>
        <v>331</v>
      </c>
      <c r="I52" s="590"/>
      <c r="J52" s="649" t="s">
        <v>333</v>
      </c>
      <c r="K52" s="591"/>
      <c r="L52" s="591"/>
      <c r="M52" s="591"/>
      <c r="N52" s="602" t="str">
        <f t="shared" si="104"/>
        <v/>
      </c>
      <c r="O52" s="646">
        <f>'F1b Budget Aktuell'!$I49</f>
        <v>0</v>
      </c>
      <c r="P52" s="867">
        <f>'F1c Budget Neu'!$I49</f>
        <v>0</v>
      </c>
      <c r="Q52" s="590"/>
      <c r="R52" s="589"/>
      <c r="S52" s="591"/>
      <c r="T52" s="591"/>
      <c r="U52" s="591"/>
      <c r="V52" s="665"/>
      <c r="W52" s="646">
        <f>'F1b Budget Aktuell'!$J49</f>
        <v>0</v>
      </c>
      <c r="X52" s="867">
        <f>'F1c Budget Neu'!$J49</f>
        <v>0</v>
      </c>
      <c r="Y52" s="590"/>
      <c r="Z52" s="589"/>
      <c r="AA52" s="591"/>
      <c r="AB52" s="591"/>
      <c r="AC52" s="591"/>
      <c r="AD52" s="665"/>
      <c r="AE52" s="646">
        <f>'F1b Budget Aktuell'!$K49</f>
        <v>0</v>
      </c>
      <c r="AF52" s="867">
        <f>'F1c Budget Neu'!$K49</f>
        <v>0</v>
      </c>
      <c r="AG52" s="590"/>
      <c r="AH52" s="589"/>
      <c r="AI52" s="591"/>
      <c r="AJ52" s="591"/>
      <c r="AK52" s="591"/>
      <c r="AL52" s="665"/>
      <c r="AM52" s="646">
        <f>'F1b Budget Aktuell'!$L49</f>
        <v>0</v>
      </c>
      <c r="AN52" s="867">
        <f>'F1c Budget Neu'!$L49</f>
        <v>0</v>
      </c>
      <c r="AO52" s="590"/>
      <c r="AP52" s="589"/>
      <c r="AQ52" s="591"/>
      <c r="AR52" s="591"/>
      <c r="AS52" s="591"/>
      <c r="AT52" s="665"/>
      <c r="AU52" s="646">
        <f>'F1b Budget Aktuell'!$M49</f>
        <v>417</v>
      </c>
      <c r="AV52" s="867">
        <f>'F1c Budget Neu'!$M49</f>
        <v>331</v>
      </c>
      <c r="AW52" s="590"/>
      <c r="AX52" s="589"/>
      <c r="AY52" s="591"/>
      <c r="AZ52" s="591"/>
      <c r="BA52" s="591"/>
      <c r="BB52" s="665"/>
      <c r="BC52" s="646">
        <f>'F1b Budget Aktuell'!$N49</f>
        <v>0</v>
      </c>
      <c r="BD52" s="867">
        <f>'F1c Budget Neu'!$N49</f>
        <v>0</v>
      </c>
      <c r="BE52" s="590"/>
      <c r="BF52" s="589"/>
      <c r="BG52" s="591"/>
      <c r="BH52" s="591"/>
      <c r="BI52" s="591"/>
      <c r="BJ52" s="665"/>
      <c r="BK52" s="665"/>
      <c r="BL52" s="665"/>
    </row>
    <row r="53" spans="2:64" s="660" customFormat="1" ht="11.1" customHeight="1">
      <c r="B53" s="661"/>
      <c r="C53" s="662">
        <v>4511</v>
      </c>
      <c r="D53" s="663" t="s">
        <v>205</v>
      </c>
      <c r="E53" s="663"/>
      <c r="F53" s="933"/>
      <c r="G53" s="646">
        <f>'F1b Budget Aktuell'!$G50</f>
        <v>0</v>
      </c>
      <c r="H53" s="867">
        <f>'F1c Budget Neu'!$G50</f>
        <v>0</v>
      </c>
      <c r="I53" s="590"/>
      <c r="J53" s="649" t="s">
        <v>333</v>
      </c>
      <c r="K53" s="591"/>
      <c r="L53" s="591"/>
      <c r="M53" s="591"/>
      <c r="N53" s="602" t="str">
        <f t="shared" si="104"/>
        <v/>
      </c>
      <c r="O53" s="646">
        <f>'F1b Budget Aktuell'!$I50</f>
        <v>0</v>
      </c>
      <c r="P53" s="867">
        <f>'F1c Budget Neu'!$I50</f>
        <v>0</v>
      </c>
      <c r="Q53" s="590"/>
      <c r="R53" s="589"/>
      <c r="S53" s="591"/>
      <c r="T53" s="591"/>
      <c r="U53" s="591"/>
      <c r="V53" s="665"/>
      <c r="W53" s="646">
        <f>'F1b Budget Aktuell'!$J50</f>
        <v>0</v>
      </c>
      <c r="X53" s="867">
        <f>'F1c Budget Neu'!$J50</f>
        <v>0</v>
      </c>
      <c r="Y53" s="590"/>
      <c r="Z53" s="589"/>
      <c r="AA53" s="591"/>
      <c r="AB53" s="591"/>
      <c r="AC53" s="591"/>
      <c r="AD53" s="665"/>
      <c r="AE53" s="646">
        <f>'F1b Budget Aktuell'!$K50</f>
        <v>0</v>
      </c>
      <c r="AF53" s="867">
        <f>'F1c Budget Neu'!$K50</f>
        <v>0</v>
      </c>
      <c r="AG53" s="590"/>
      <c r="AH53" s="589"/>
      <c r="AI53" s="591"/>
      <c r="AJ53" s="591"/>
      <c r="AK53" s="591"/>
      <c r="AL53" s="665"/>
      <c r="AM53" s="646">
        <f>'F1b Budget Aktuell'!$L50</f>
        <v>0</v>
      </c>
      <c r="AN53" s="867">
        <f>'F1c Budget Neu'!$L50</f>
        <v>0</v>
      </c>
      <c r="AO53" s="590"/>
      <c r="AP53" s="589"/>
      <c r="AQ53" s="591"/>
      <c r="AR53" s="591"/>
      <c r="AS53" s="591"/>
      <c r="AT53" s="665"/>
      <c r="AU53" s="646">
        <f>'F1b Budget Aktuell'!$M50</f>
        <v>0</v>
      </c>
      <c r="AV53" s="867">
        <f>'F1c Budget Neu'!$M50</f>
        <v>0</v>
      </c>
      <c r="AW53" s="590"/>
      <c r="AX53" s="589"/>
      <c r="AY53" s="591"/>
      <c r="AZ53" s="591"/>
      <c r="BA53" s="591"/>
      <c r="BB53" s="665"/>
      <c r="BC53" s="646">
        <f>'F1b Budget Aktuell'!$N50</f>
        <v>0</v>
      </c>
      <c r="BD53" s="867">
        <f>'F1c Budget Neu'!$N50</f>
        <v>0</v>
      </c>
      <c r="BE53" s="590"/>
      <c r="BF53" s="589"/>
      <c r="BG53" s="591"/>
      <c r="BH53" s="591"/>
      <c r="BI53" s="591"/>
      <c r="BJ53" s="665"/>
      <c r="BK53" s="665"/>
      <c r="BL53" s="665"/>
    </row>
    <row r="54" spans="2:64" s="660" customFormat="1" ht="11.1" customHeight="1">
      <c r="B54" s="661"/>
      <c r="C54" s="662">
        <v>4512</v>
      </c>
      <c r="D54" s="663" t="s">
        <v>292</v>
      </c>
      <c r="E54" s="663"/>
      <c r="F54" s="664"/>
      <c r="G54" s="646">
        <f>'F1b Budget Aktuell'!$G51</f>
        <v>0</v>
      </c>
      <c r="H54" s="867">
        <f>'F1c Budget Neu'!$G51</f>
        <v>0</v>
      </c>
      <c r="I54" s="590"/>
      <c r="J54" s="649" t="s">
        <v>333</v>
      </c>
      <c r="K54" s="591"/>
      <c r="L54" s="591"/>
      <c r="M54" s="591"/>
      <c r="N54" s="602" t="str">
        <f t="shared" si="104"/>
        <v/>
      </c>
      <c r="O54" s="646">
        <f>'F1b Budget Aktuell'!$I51</f>
        <v>0</v>
      </c>
      <c r="P54" s="867">
        <f>'F1c Budget Neu'!$I51</f>
        <v>0</v>
      </c>
      <c r="Q54" s="590"/>
      <c r="R54" s="589"/>
      <c r="S54" s="591"/>
      <c r="T54" s="591"/>
      <c r="U54" s="591"/>
      <c r="V54" s="665"/>
      <c r="W54" s="646">
        <f>'F1b Budget Aktuell'!$J51</f>
        <v>0</v>
      </c>
      <c r="X54" s="867">
        <f>'F1c Budget Neu'!$J51</f>
        <v>0</v>
      </c>
      <c r="Y54" s="590"/>
      <c r="Z54" s="589"/>
      <c r="AA54" s="591"/>
      <c r="AB54" s="591"/>
      <c r="AC54" s="591"/>
      <c r="AD54" s="665"/>
      <c r="AE54" s="646">
        <f>'F1b Budget Aktuell'!$K51</f>
        <v>0</v>
      </c>
      <c r="AF54" s="867">
        <f>'F1c Budget Neu'!$K51</f>
        <v>0</v>
      </c>
      <c r="AG54" s="590"/>
      <c r="AH54" s="589"/>
      <c r="AI54" s="591"/>
      <c r="AJ54" s="591"/>
      <c r="AK54" s="591"/>
      <c r="AL54" s="665"/>
      <c r="AM54" s="646">
        <f>'F1b Budget Aktuell'!$L51</f>
        <v>0</v>
      </c>
      <c r="AN54" s="867">
        <f>'F1c Budget Neu'!$L51</f>
        <v>0</v>
      </c>
      <c r="AO54" s="590"/>
      <c r="AP54" s="589"/>
      <c r="AQ54" s="591"/>
      <c r="AR54" s="591"/>
      <c r="AS54" s="591"/>
      <c r="AT54" s="665"/>
      <c r="AU54" s="646">
        <f>'F1b Budget Aktuell'!$M51</f>
        <v>0</v>
      </c>
      <c r="AV54" s="867">
        <f>'F1c Budget Neu'!$M51</f>
        <v>0</v>
      </c>
      <c r="AW54" s="590"/>
      <c r="AX54" s="589"/>
      <c r="AY54" s="591"/>
      <c r="AZ54" s="591"/>
      <c r="BA54" s="591"/>
      <c r="BB54" s="665"/>
      <c r="BC54" s="646">
        <f>'F1b Budget Aktuell'!$N51</f>
        <v>0</v>
      </c>
      <c r="BD54" s="867">
        <f>'F1c Budget Neu'!$N51</f>
        <v>0</v>
      </c>
      <c r="BE54" s="590"/>
      <c r="BF54" s="589"/>
      <c r="BG54" s="591"/>
      <c r="BH54" s="591"/>
      <c r="BI54" s="591"/>
      <c r="BJ54" s="665"/>
      <c r="BK54" s="665"/>
      <c r="BL54" s="665"/>
    </row>
    <row r="55" spans="2:64" ht="11.1" customHeight="1">
      <c r="B55" s="374">
        <v>46</v>
      </c>
      <c r="C55" s="383"/>
      <c r="D55" s="1412" t="s">
        <v>98</v>
      </c>
      <c r="E55" s="1412"/>
      <c r="F55" s="1413"/>
      <c r="G55" s="420">
        <f>'F1b Budget Aktuell'!G52</f>
        <v>6942</v>
      </c>
      <c r="H55" s="423">
        <f>'F1c Budget Neu'!G52</f>
        <v>6837</v>
      </c>
      <c r="I55" s="422">
        <f>(H55-H56)*(1+'F0b Planungsparameter'!$I23)+I56</f>
        <v>6747.1299999999992</v>
      </c>
      <c r="J55" s="420">
        <f>(I55-I56)*(1+'F0b Planungsparameter'!$J23)+J56</f>
        <v>6648.3656499999988</v>
      </c>
      <c r="K55" s="420">
        <f>(J55-J56)*(1+'F0b Planungsparameter'!$K23)+K56</f>
        <v>6589.7074782499985</v>
      </c>
      <c r="L55" s="420">
        <f>(K55-K56)*(1+'F0b Planungsparameter'!$L23)+L56</f>
        <v>6591.1560156412479</v>
      </c>
      <c r="M55" s="423">
        <f>(L55-L56)*(1+'F0b Planungsparameter'!$M23)+M56</f>
        <v>6572.7117957194541</v>
      </c>
      <c r="N55" s="602" t="str">
        <f t="shared" si="104"/>
        <v/>
      </c>
      <c r="O55" s="420">
        <f>'F1b Budget Aktuell'!I$52</f>
        <v>52</v>
      </c>
      <c r="P55" s="423">
        <f>'F1c Budget Neu'!I$52</f>
        <v>60</v>
      </c>
      <c r="Q55" s="422">
        <f>(P55-P56)*(1+'F0b Planungsparameter'!$I$23)+Q56</f>
        <v>60.3</v>
      </c>
      <c r="R55" s="420">
        <f>(Q55-Q56)*(1+'F0b Planungsparameter'!$J$23)+R56</f>
        <v>60.601499999999987</v>
      </c>
      <c r="S55" s="420">
        <f>(R55-R56)*(1+'F0b Planungsparameter'!$K$23)+S56</f>
        <v>60.90450749999998</v>
      </c>
      <c r="T55" s="420">
        <f>(S55-S56)*(1+'F0b Planungsparameter'!$L$23)+T56</f>
        <v>61.209030037499971</v>
      </c>
      <c r="U55" s="423">
        <f>(T55-T56)*(1+'F0b Planungsparameter'!$M$23)+U56</f>
        <v>61.515075187687465</v>
      </c>
      <c r="V55" s="665"/>
      <c r="W55" s="420">
        <f>'F1b Budget Aktuell'!$J52</f>
        <v>2881</v>
      </c>
      <c r="X55" s="423">
        <f>'F1c Budget Neu'!$J52</f>
        <v>3035</v>
      </c>
      <c r="Y55" s="422">
        <f>(X55-X56)*(1+'F0b Planungsparameter'!$I$23)+Y56</f>
        <v>3050.1749999999997</v>
      </c>
      <c r="Z55" s="420">
        <f>(Y55-Y56)*(1+'F0b Planungsparameter'!$J$23)+Z56</f>
        <v>3065.4258749999995</v>
      </c>
      <c r="AA55" s="420">
        <f>(Z55-Z56)*(1+'F0b Planungsparameter'!$K$23)+AA56</f>
        <v>3080.7530043749989</v>
      </c>
      <c r="AB55" s="420">
        <f>(AA55-AA56)*(1+'F0b Planungsparameter'!$L$23)+AB56</f>
        <v>3096.1567693968736</v>
      </c>
      <c r="AC55" s="423">
        <f>(AB55-AB56)*(1+'F0b Planungsparameter'!$M$23)+AC56</f>
        <v>3111.6375532438578</v>
      </c>
      <c r="AD55" s="665"/>
      <c r="AE55" s="420">
        <f>'F1b Budget Aktuell'!$K52</f>
        <v>0</v>
      </c>
      <c r="AF55" s="423">
        <f>'F1c Budget Neu'!$K52</f>
        <v>0</v>
      </c>
      <c r="AG55" s="422">
        <f>(AF55-AF56)*(1+'F0b Planungsparameter'!$I$23)+AG56</f>
        <v>0</v>
      </c>
      <c r="AH55" s="420">
        <f>(AG55-AG56)*(1+'F0b Planungsparameter'!$J$23)+AH56</f>
        <v>0</v>
      </c>
      <c r="AI55" s="420">
        <f>(AH55-AH56)*(1+'F0b Planungsparameter'!$K$23)+AI56</f>
        <v>0</v>
      </c>
      <c r="AJ55" s="420">
        <f>(AI55-AI56)*(1+'F0b Planungsparameter'!$L$23)+AJ56</f>
        <v>0</v>
      </c>
      <c r="AK55" s="423">
        <f>(AJ55-AJ56)*(1+'F0b Planungsparameter'!$M$23)+AK56</f>
        <v>0</v>
      </c>
      <c r="AL55" s="665"/>
      <c r="AM55" s="420">
        <f>'F1b Budget Aktuell'!$L52</f>
        <v>1027</v>
      </c>
      <c r="AN55" s="423">
        <f>'F1c Budget Neu'!$L52</f>
        <v>1029</v>
      </c>
      <c r="AO55" s="422">
        <f>(AN55-AN56)*(1+'F0b Planungsparameter'!$I$23)+AO56</f>
        <v>1034.145</v>
      </c>
      <c r="AP55" s="420">
        <f>(AO55-AO56)*(1+'F0b Planungsparameter'!$J$23)+AP56</f>
        <v>1039.3157249999999</v>
      </c>
      <c r="AQ55" s="420">
        <f>(AP55-AP56)*(1+'F0b Planungsparameter'!$K$23)+AQ56</f>
        <v>1044.5123036249997</v>
      </c>
      <c r="AR55" s="420">
        <f>(AQ55-AQ56)*(1+'F0b Planungsparameter'!$L$23)+AR56</f>
        <v>1049.7348651431246</v>
      </c>
      <c r="AS55" s="423">
        <f>(AR55-AR56)*(1+'F0b Planungsparameter'!$M$23)+AS56</f>
        <v>1054.98353946884</v>
      </c>
      <c r="AT55" s="665"/>
      <c r="AU55" s="420">
        <f>'F1b Budget Aktuell'!$M52</f>
        <v>97</v>
      </c>
      <c r="AV55" s="423">
        <f>'F1c Budget Neu'!$M52</f>
        <v>99</v>
      </c>
      <c r="AW55" s="422">
        <f>(AV55-AV56)*(1+'F0b Planungsparameter'!$I$23)+AW56</f>
        <v>99.49499999999999</v>
      </c>
      <c r="AX55" s="420">
        <f>(AW55-AW56)*(1+'F0b Planungsparameter'!$J$23)+AX56</f>
        <v>99.992474999999985</v>
      </c>
      <c r="AY55" s="420">
        <f>(AX55-AX56)*(1+'F0b Planungsparameter'!$K$23)+AY56</f>
        <v>100.49243737499998</v>
      </c>
      <c r="AZ55" s="420">
        <f>(AY55-AY56)*(1+'F0b Planungsparameter'!$L$23)+AZ56</f>
        <v>100.99489956187497</v>
      </c>
      <c r="BA55" s="423">
        <f>(AZ55-AZ56)*(1+'F0b Planungsparameter'!$M$23)+BA56</f>
        <v>101.49987405968433</v>
      </c>
      <c r="BB55" s="665"/>
      <c r="BC55" s="420">
        <f>'F1b Budget Aktuell'!$N52</f>
        <v>2885</v>
      </c>
      <c r="BD55" s="423">
        <f>'F1c Budget Neu'!$N52</f>
        <v>2614</v>
      </c>
      <c r="BE55" s="422">
        <f>(BD55-BD56)*(1+'F0b Planungsparameter'!$I$23)+BE56</f>
        <v>2503.0149999999999</v>
      </c>
      <c r="BF55" s="420">
        <f>(BE55-BE56)*(1+'F0b Planungsparameter'!$J$23)+BF56</f>
        <v>2383.0300749999997</v>
      </c>
      <c r="BG55" s="420">
        <f>(BF55-BF56)*(1+'F0b Planungsparameter'!$K$23)+BG56</f>
        <v>2303.0452253749995</v>
      </c>
      <c r="BH55" s="420">
        <f>(BG55-BG56)*(1+'F0b Planungsparameter'!$L$23)+BH56</f>
        <v>2283.0604515018745</v>
      </c>
      <c r="BI55" s="423">
        <f>(BH55-BH56)*(1+'F0b Planungsparameter'!$M$23)+BI56</f>
        <v>2243.075753759384</v>
      </c>
      <c r="BJ55" s="665"/>
      <c r="BK55" s="665"/>
      <c r="BL55" s="665"/>
    </row>
    <row r="56" spans="2:64" s="644" customFormat="1" ht="11.1" customHeight="1">
      <c r="B56" s="645"/>
      <c r="C56" s="651">
        <v>462</v>
      </c>
      <c r="D56" s="643"/>
      <c r="E56" s="1426" t="s">
        <v>176</v>
      </c>
      <c r="F56" s="1427"/>
      <c r="G56" s="646">
        <f>'F1b Budget Aktuell'!G53</f>
        <v>2884</v>
      </c>
      <c r="H56" s="867">
        <f>'F1c Budget Neu'!G53</f>
        <v>2611</v>
      </c>
      <c r="I56" s="648">
        <f>'F0b Planungsparameter'!$I54</f>
        <v>2500</v>
      </c>
      <c r="J56" s="649">
        <f>'F0b Planungsparameter'!$J54</f>
        <v>2380</v>
      </c>
      <c r="K56" s="649">
        <f>'F0b Planungsparameter'!$K54</f>
        <v>2300</v>
      </c>
      <c r="L56" s="649">
        <f>'F0b Planungsparameter'!$L54</f>
        <v>2280</v>
      </c>
      <c r="M56" s="595">
        <f>'F0b Planungsparameter'!$M54</f>
        <v>2240</v>
      </c>
      <c r="N56" s="602" t="str">
        <f t="shared" si="104"/>
        <v/>
      </c>
      <c r="O56" s="646">
        <f>'F1b Budget Aktuell'!I$53</f>
        <v>0</v>
      </c>
      <c r="P56" s="867">
        <f>'F1c Budget Neu'!I$53</f>
        <v>0</v>
      </c>
      <c r="Q56" s="860">
        <f>IF('F0a Konfiguration'!$C$26='F2 Weiterführung ER'!O$7,'F0b Planungsparameter'!$I$54,0)</f>
        <v>0</v>
      </c>
      <c r="R56" s="861">
        <f>IF('F0a Konfiguration'!$C$26='F2 Weiterführung ER'!O$7,'F0b Planungsparameter'!$J$54,0)</f>
        <v>0</v>
      </c>
      <c r="S56" s="861">
        <f>IF('F0a Konfiguration'!$C$26='F2 Weiterführung ER'!O$7,'F0b Planungsparameter'!$K$54,0)</f>
        <v>0</v>
      </c>
      <c r="T56" s="861">
        <f>IF('F0a Konfiguration'!$C$26='F2 Weiterführung ER'!O$7,'F0b Planungsparameter'!$L$54,0)</f>
        <v>0</v>
      </c>
      <c r="U56" s="862">
        <f>IF('F0a Konfiguration'!$C$26='F2 Weiterführung ER'!O$7,'F0b Planungsparameter'!$M$54,0)</f>
        <v>0</v>
      </c>
      <c r="V56" s="665"/>
      <c r="W56" s="646">
        <f>'F1b Budget Aktuell'!$J53</f>
        <v>0</v>
      </c>
      <c r="X56" s="867">
        <f>'F1c Budget Neu'!$J53</f>
        <v>0</v>
      </c>
      <c r="Y56" s="860">
        <f>IF('F0a Konfiguration'!$C$26='F2 Weiterführung ER'!W$7,'F0b Planungsparameter'!$I$54,0)</f>
        <v>0</v>
      </c>
      <c r="Z56" s="861">
        <f>IF('F0a Konfiguration'!$C$26='F2 Weiterführung ER'!W$7,'F0b Planungsparameter'!$J$54,0)</f>
        <v>0</v>
      </c>
      <c r="AA56" s="861">
        <f>IF('F0a Konfiguration'!$C$26='F2 Weiterführung ER'!W$7,'F0b Planungsparameter'!$K$54,0)</f>
        <v>0</v>
      </c>
      <c r="AB56" s="861">
        <f>IF('F0a Konfiguration'!$C$26='F2 Weiterführung ER'!W$7,'F0b Planungsparameter'!$L$54,0)</f>
        <v>0</v>
      </c>
      <c r="AC56" s="862">
        <f>IF('F0a Konfiguration'!$C$26='F2 Weiterführung ER'!W$7,'F0b Planungsparameter'!$M$54,0)</f>
        <v>0</v>
      </c>
      <c r="AD56" s="665"/>
      <c r="AE56" s="646">
        <f>'F1b Budget Aktuell'!$K53</f>
        <v>0</v>
      </c>
      <c r="AF56" s="867">
        <f>'F1c Budget Neu'!$K53</f>
        <v>0</v>
      </c>
      <c r="AG56" s="860">
        <f>IF('F0a Konfiguration'!$C$26='F2 Weiterführung ER'!AE$7,'F0b Planungsparameter'!$I$54,0)</f>
        <v>0</v>
      </c>
      <c r="AH56" s="861">
        <f>IF('F0a Konfiguration'!$C$26='F2 Weiterführung ER'!AE$7,'F0b Planungsparameter'!$J$54,0)</f>
        <v>0</v>
      </c>
      <c r="AI56" s="861">
        <f>IF('F0a Konfiguration'!$C$26='F2 Weiterführung ER'!AE$7,'F0b Planungsparameter'!$K$54,0)</f>
        <v>0</v>
      </c>
      <c r="AJ56" s="861">
        <f>IF('F0a Konfiguration'!$C$26='F2 Weiterführung ER'!AE$7,'F0b Planungsparameter'!$L$54,0)</f>
        <v>0</v>
      </c>
      <c r="AK56" s="862">
        <f>IF('F0a Konfiguration'!$C$26='F2 Weiterführung ER'!AE$7,'F0b Planungsparameter'!$M$54,0)</f>
        <v>0</v>
      </c>
      <c r="AL56" s="665"/>
      <c r="AM56" s="646">
        <f>'F1b Budget Aktuell'!$L53</f>
        <v>0</v>
      </c>
      <c r="AN56" s="867">
        <f>'F1c Budget Neu'!$L53</f>
        <v>0</v>
      </c>
      <c r="AO56" s="860">
        <f>IF('F0a Konfiguration'!$C$26='F2 Weiterführung ER'!AM$7,'F0b Planungsparameter'!$I$54,0)</f>
        <v>0</v>
      </c>
      <c r="AP56" s="861">
        <f>IF('F0a Konfiguration'!$C$26='F2 Weiterführung ER'!AM$7,'F0b Planungsparameter'!$J$54,0)</f>
        <v>0</v>
      </c>
      <c r="AQ56" s="861">
        <f>IF('F0a Konfiguration'!$C$26='F2 Weiterführung ER'!AM$7,'F0b Planungsparameter'!$K$54,0)</f>
        <v>0</v>
      </c>
      <c r="AR56" s="861">
        <f>IF('F0a Konfiguration'!$C$26='F2 Weiterführung ER'!AM$7,'F0b Planungsparameter'!$L$54,0)</f>
        <v>0</v>
      </c>
      <c r="AS56" s="862">
        <f>IF('F0a Konfiguration'!$C$26='F2 Weiterführung ER'!AM$7,'F0b Planungsparameter'!$M$54,0)</f>
        <v>0</v>
      </c>
      <c r="AT56" s="665"/>
      <c r="AU56" s="646">
        <f>'F1b Budget Aktuell'!$M53</f>
        <v>0</v>
      </c>
      <c r="AV56" s="867">
        <f>'F1c Budget Neu'!$M53</f>
        <v>0</v>
      </c>
      <c r="AW56" s="860">
        <f>IF('F0a Konfiguration'!$C$26='F2 Weiterführung ER'!AU$7,'F0b Planungsparameter'!$I$54,0)</f>
        <v>0</v>
      </c>
      <c r="AX56" s="861">
        <f>IF('F0a Konfiguration'!$C$26='F2 Weiterführung ER'!AU$7,'F0b Planungsparameter'!$J$54,0)</f>
        <v>0</v>
      </c>
      <c r="AY56" s="861">
        <f>IF('F0a Konfiguration'!$C$26='F2 Weiterführung ER'!AU$7,'F0b Planungsparameter'!$K$54,0)</f>
        <v>0</v>
      </c>
      <c r="AZ56" s="861">
        <f>IF('F0a Konfiguration'!$C$26='F2 Weiterführung ER'!AU$7,'F0b Planungsparameter'!$L$54,0)</f>
        <v>0</v>
      </c>
      <c r="BA56" s="862">
        <f>IF('F0a Konfiguration'!$C$26='F2 Weiterführung ER'!AU$7,'F0b Planungsparameter'!$M$54,0)</f>
        <v>0</v>
      </c>
      <c r="BB56" s="665"/>
      <c r="BC56" s="646">
        <f>'F1b Budget Aktuell'!$N53</f>
        <v>2884</v>
      </c>
      <c r="BD56" s="867">
        <f>'F1c Budget Neu'!$N53</f>
        <v>2611</v>
      </c>
      <c r="BE56" s="860">
        <f>IF('F0a Konfiguration'!$C$26='F2 Weiterführung ER'!BC$7,'F0b Planungsparameter'!$I$54,0)</f>
        <v>2500</v>
      </c>
      <c r="BF56" s="861">
        <f>IF('F0a Konfiguration'!$C$26='F2 Weiterführung ER'!BC$7,'F0b Planungsparameter'!$J$54,0)</f>
        <v>2380</v>
      </c>
      <c r="BG56" s="861">
        <f>IF('F0a Konfiguration'!$C$26='F2 Weiterführung ER'!BC$7,'F0b Planungsparameter'!$K$54,0)</f>
        <v>2300</v>
      </c>
      <c r="BH56" s="861">
        <f>IF('F0a Konfiguration'!$C$26='F2 Weiterführung ER'!BC$7,'F0b Planungsparameter'!$L$54,0)</f>
        <v>2280</v>
      </c>
      <c r="BI56" s="862">
        <f>IF('F0a Konfiguration'!$C$26='F2 Weiterführung ER'!BC$7,'F0b Planungsparameter'!$M$54,0)</f>
        <v>2240</v>
      </c>
      <c r="BJ56" s="665"/>
      <c r="BK56" s="665"/>
      <c r="BL56" s="665"/>
    </row>
    <row r="57" spans="2:64" ht="11.1" customHeight="1">
      <c r="B57" s="374">
        <v>47</v>
      </c>
      <c r="C57" s="383"/>
      <c r="D57" s="1412" t="s">
        <v>25</v>
      </c>
      <c r="E57" s="1412"/>
      <c r="F57" s="1413"/>
      <c r="G57" s="420">
        <f>'F1b Budget Aktuell'!G54</f>
        <v>0</v>
      </c>
      <c r="H57" s="423">
        <f>'F1c Budget Neu'!G54</f>
        <v>0</v>
      </c>
      <c r="I57" s="422">
        <f>H57</f>
        <v>0</v>
      </c>
      <c r="J57" s="420">
        <f t="shared" ref="J57:M57" si="105">I57</f>
        <v>0</v>
      </c>
      <c r="K57" s="420">
        <f t="shared" si="105"/>
        <v>0</v>
      </c>
      <c r="L57" s="420">
        <f t="shared" si="105"/>
        <v>0</v>
      </c>
      <c r="M57" s="423">
        <f t="shared" si="105"/>
        <v>0</v>
      </c>
      <c r="N57" s="602" t="str">
        <f t="shared" si="104"/>
        <v/>
      </c>
      <c r="O57" s="420">
        <f>'F1b Budget Aktuell'!I54</f>
        <v>0</v>
      </c>
      <c r="P57" s="423">
        <f>'F1c Budget Neu'!I54</f>
        <v>0</v>
      </c>
      <c r="Q57" s="422">
        <f>P57</f>
        <v>0</v>
      </c>
      <c r="R57" s="423">
        <f t="shared" ref="R57:U57" si="106">Q57</f>
        <v>0</v>
      </c>
      <c r="S57" s="423">
        <f t="shared" si="106"/>
        <v>0</v>
      </c>
      <c r="T57" s="423">
        <f t="shared" si="106"/>
        <v>0</v>
      </c>
      <c r="U57" s="423">
        <f t="shared" si="106"/>
        <v>0</v>
      </c>
      <c r="V57" s="665"/>
      <c r="W57" s="420">
        <f>'F1b Budget Aktuell'!$J54</f>
        <v>0</v>
      </c>
      <c r="X57" s="423">
        <f>'F1c Budget Neu'!$J54</f>
        <v>0</v>
      </c>
      <c r="Y57" s="422">
        <f t="shared" ref="Y57" si="107">X57</f>
        <v>0</v>
      </c>
      <c r="Z57" s="423">
        <f t="shared" ref="Z57" si="108">Y57</f>
        <v>0</v>
      </c>
      <c r="AA57" s="423">
        <f t="shared" ref="AA57" si="109">Z57</f>
        <v>0</v>
      </c>
      <c r="AB57" s="423">
        <f t="shared" ref="AB57" si="110">AA57</f>
        <v>0</v>
      </c>
      <c r="AC57" s="423">
        <f t="shared" ref="AC57" si="111">AB57</f>
        <v>0</v>
      </c>
      <c r="AD57" s="665"/>
      <c r="AE57" s="420">
        <f>'F1b Budget Aktuell'!$K54</f>
        <v>0</v>
      </c>
      <c r="AF57" s="423">
        <f>'F1c Budget Neu'!$K54</f>
        <v>0</v>
      </c>
      <c r="AG57" s="422">
        <f t="shared" ref="AG57" si="112">AF57</f>
        <v>0</v>
      </c>
      <c r="AH57" s="423">
        <f t="shared" ref="AH57" si="113">AG57</f>
        <v>0</v>
      </c>
      <c r="AI57" s="423">
        <f t="shared" ref="AI57" si="114">AH57</f>
        <v>0</v>
      </c>
      <c r="AJ57" s="423">
        <f t="shared" ref="AJ57" si="115">AI57</f>
        <v>0</v>
      </c>
      <c r="AK57" s="423">
        <f t="shared" ref="AK57" si="116">AJ57</f>
        <v>0</v>
      </c>
      <c r="AL57" s="665"/>
      <c r="AM57" s="420">
        <f>'F1b Budget Aktuell'!$L54</f>
        <v>0</v>
      </c>
      <c r="AN57" s="423">
        <f>'F1c Budget Neu'!$L54</f>
        <v>0</v>
      </c>
      <c r="AO57" s="422">
        <f t="shared" ref="AO57" si="117">AN57</f>
        <v>0</v>
      </c>
      <c r="AP57" s="423">
        <f t="shared" ref="AP57" si="118">AO57</f>
        <v>0</v>
      </c>
      <c r="AQ57" s="423">
        <f t="shared" ref="AQ57" si="119">AP57</f>
        <v>0</v>
      </c>
      <c r="AR57" s="423">
        <f t="shared" ref="AR57" si="120">AQ57</f>
        <v>0</v>
      </c>
      <c r="AS57" s="423">
        <f t="shared" ref="AS57" si="121">AR57</f>
        <v>0</v>
      </c>
      <c r="AT57" s="665"/>
      <c r="AU57" s="420">
        <f>'F1b Budget Aktuell'!$M54</f>
        <v>0</v>
      </c>
      <c r="AV57" s="423">
        <f>'F1c Budget Neu'!$M54</f>
        <v>0</v>
      </c>
      <c r="AW57" s="422">
        <f t="shared" ref="AW57" si="122">AV57</f>
        <v>0</v>
      </c>
      <c r="AX57" s="423">
        <f t="shared" ref="AX57" si="123">AW57</f>
        <v>0</v>
      </c>
      <c r="AY57" s="423">
        <f t="shared" ref="AY57" si="124">AX57</f>
        <v>0</v>
      </c>
      <c r="AZ57" s="423">
        <f t="shared" ref="AZ57" si="125">AY57</f>
        <v>0</v>
      </c>
      <c r="BA57" s="423">
        <f t="shared" ref="BA57" si="126">AZ57</f>
        <v>0</v>
      </c>
      <c r="BB57" s="665"/>
      <c r="BC57" s="420">
        <f>'F1b Budget Aktuell'!$N54</f>
        <v>0</v>
      </c>
      <c r="BD57" s="423">
        <f>'F1c Budget Neu'!$N54</f>
        <v>0</v>
      </c>
      <c r="BE57" s="422">
        <f t="shared" ref="BE57" si="127">BD57</f>
        <v>0</v>
      </c>
      <c r="BF57" s="423">
        <f t="shared" ref="BF57" si="128">BE57</f>
        <v>0</v>
      </c>
      <c r="BG57" s="423">
        <f t="shared" ref="BG57" si="129">BF57</f>
        <v>0</v>
      </c>
      <c r="BH57" s="423">
        <f t="shared" ref="BH57" si="130">BG57</f>
        <v>0</v>
      </c>
      <c r="BI57" s="423">
        <f t="shared" ref="BI57" si="131">BH57</f>
        <v>0</v>
      </c>
      <c r="BJ57" s="665"/>
      <c r="BK57" s="665"/>
      <c r="BL57" s="665"/>
    </row>
    <row r="58" spans="2:64" s="660" customFormat="1" ht="11.1" customHeight="1">
      <c r="B58" s="661">
        <v>48</v>
      </c>
      <c r="C58" s="667"/>
      <c r="D58" s="1428" t="s">
        <v>97</v>
      </c>
      <c r="E58" s="1428"/>
      <c r="F58" s="1429"/>
      <c r="G58" s="420">
        <f>'F1b Budget Aktuell'!G55</f>
        <v>0</v>
      </c>
      <c r="H58" s="423">
        <f>'F1c Budget Neu'!G55</f>
        <v>0</v>
      </c>
      <c r="I58" s="590"/>
      <c r="J58" s="861"/>
      <c r="K58" s="423"/>
      <c r="L58" s="423"/>
      <c r="M58" s="423"/>
      <c r="N58" s="602" t="str">
        <f t="shared" si="104"/>
        <v/>
      </c>
      <c r="O58" s="420">
        <f>'F1b Budget Aktuell'!$I55</f>
        <v>0</v>
      </c>
      <c r="P58" s="423">
        <f>'F1c Budget Neu'!$I55</f>
        <v>0</v>
      </c>
      <c r="Q58" s="592"/>
      <c r="R58" s="423"/>
      <c r="S58" s="423"/>
      <c r="T58" s="423"/>
      <c r="U58" s="423"/>
      <c r="V58" s="86"/>
      <c r="W58" s="420">
        <f>'F1b Budget Aktuell'!$J55</f>
        <v>0</v>
      </c>
      <c r="X58" s="423">
        <f>'F1c Budget Neu'!$J55</f>
        <v>0</v>
      </c>
      <c r="Y58" s="592"/>
      <c r="Z58" s="423"/>
      <c r="AA58" s="423"/>
      <c r="AB58" s="423"/>
      <c r="AC58" s="423"/>
      <c r="AD58" s="86"/>
      <c r="AE58" s="420">
        <f>'F1b Budget Aktuell'!$K55</f>
        <v>0</v>
      </c>
      <c r="AF58" s="423">
        <f>'F1c Budget Neu'!$K55</f>
        <v>0</v>
      </c>
      <c r="AG58" s="592"/>
      <c r="AH58" s="423"/>
      <c r="AI58" s="423"/>
      <c r="AJ58" s="423"/>
      <c r="AK58" s="423"/>
      <c r="AL58" s="86"/>
      <c r="AM58" s="420">
        <f>'F1b Budget Aktuell'!$L55</f>
        <v>0</v>
      </c>
      <c r="AN58" s="423">
        <f>'F1c Budget Neu'!$L55</f>
        <v>0</v>
      </c>
      <c r="AO58" s="592"/>
      <c r="AP58" s="423"/>
      <c r="AQ58" s="423"/>
      <c r="AR58" s="423"/>
      <c r="AS58" s="423"/>
      <c r="AT58" s="86"/>
      <c r="AU58" s="420">
        <f>'F1b Budget Aktuell'!$M55</f>
        <v>0</v>
      </c>
      <c r="AV58" s="423">
        <f>'F1c Budget Neu'!$M55</f>
        <v>0</v>
      </c>
      <c r="AW58" s="592"/>
      <c r="AX58" s="423"/>
      <c r="AY58" s="423"/>
      <c r="AZ58" s="423"/>
      <c r="BA58" s="423"/>
      <c r="BB58" s="86"/>
      <c r="BC58" s="420">
        <f>'F1b Budget Aktuell'!$N55</f>
        <v>0</v>
      </c>
      <c r="BD58" s="423">
        <f>'F1c Budget Neu'!$N55</f>
        <v>0</v>
      </c>
      <c r="BE58" s="592"/>
      <c r="BF58" s="423"/>
      <c r="BG58" s="423"/>
      <c r="BH58" s="423"/>
      <c r="BI58" s="423"/>
      <c r="BJ58" s="86"/>
      <c r="BK58" s="86"/>
      <c r="BL58" s="86"/>
    </row>
    <row r="59" spans="2:64" s="644" customFormat="1" ht="11.1" customHeight="1">
      <c r="B59" s="666"/>
      <c r="C59" s="603">
        <v>489</v>
      </c>
      <c r="D59" s="635" t="s">
        <v>200</v>
      </c>
      <c r="E59" s="635"/>
      <c r="F59" s="658"/>
      <c r="G59" s="646">
        <f>'F1b Budget Aktuell'!G56</f>
        <v>0</v>
      </c>
      <c r="H59" s="867">
        <f>'F1c Budget Neu'!G56</f>
        <v>0</v>
      </c>
      <c r="I59" s="590"/>
      <c r="J59" s="649" t="s">
        <v>333</v>
      </c>
      <c r="K59" s="649"/>
      <c r="L59" s="649"/>
      <c r="M59" s="595"/>
      <c r="N59" s="602" t="str">
        <f t="shared" si="104"/>
        <v/>
      </c>
      <c r="O59" s="646">
        <f>'F1b Budget Aktuell'!$I56</f>
        <v>0</v>
      </c>
      <c r="P59" s="867">
        <f>'F1c Budget Neu'!$I56</f>
        <v>0</v>
      </c>
      <c r="Q59" s="648"/>
      <c r="R59" s="649"/>
      <c r="S59" s="649"/>
      <c r="T59" s="649"/>
      <c r="U59" s="595"/>
      <c r="V59" s="665"/>
      <c r="W59" s="646">
        <f>'F1b Budget Aktuell'!$J56</f>
        <v>0</v>
      </c>
      <c r="X59" s="867">
        <f>'F1c Budget Neu'!$J56</f>
        <v>0</v>
      </c>
      <c r="Y59" s="648"/>
      <c r="Z59" s="649"/>
      <c r="AA59" s="649"/>
      <c r="AB59" s="649"/>
      <c r="AC59" s="595"/>
      <c r="AD59" s="665"/>
      <c r="AE59" s="646">
        <f>'F1b Budget Aktuell'!$K56</f>
        <v>0</v>
      </c>
      <c r="AF59" s="867">
        <f>'F1c Budget Neu'!$K56</f>
        <v>0</v>
      </c>
      <c r="AG59" s="648"/>
      <c r="AH59" s="649"/>
      <c r="AI59" s="649"/>
      <c r="AJ59" s="649"/>
      <c r="AK59" s="595"/>
      <c r="AL59" s="665"/>
      <c r="AM59" s="646">
        <f>'F1b Budget Aktuell'!$L56</f>
        <v>0</v>
      </c>
      <c r="AN59" s="867">
        <f>'F1c Budget Neu'!$L56</f>
        <v>0</v>
      </c>
      <c r="AO59" s="648"/>
      <c r="AP59" s="649"/>
      <c r="AQ59" s="649"/>
      <c r="AR59" s="649"/>
      <c r="AS59" s="595"/>
      <c r="AT59" s="665"/>
      <c r="AU59" s="646">
        <f>'F1b Budget Aktuell'!$M56</f>
        <v>0</v>
      </c>
      <c r="AV59" s="867">
        <f>'F1c Budget Neu'!$M56</f>
        <v>0</v>
      </c>
      <c r="AW59" s="648"/>
      <c r="AX59" s="649"/>
      <c r="AY59" s="649"/>
      <c r="AZ59" s="649"/>
      <c r="BA59" s="595"/>
      <c r="BB59" s="665"/>
      <c r="BC59" s="646">
        <f>'F1b Budget Aktuell'!$N56</f>
        <v>0</v>
      </c>
      <c r="BD59" s="867">
        <f>'F1c Budget Neu'!$N56</f>
        <v>0</v>
      </c>
      <c r="BE59" s="648"/>
      <c r="BF59" s="649"/>
      <c r="BG59" s="649"/>
      <c r="BH59" s="649"/>
      <c r="BI59" s="595"/>
      <c r="BJ59" s="665"/>
      <c r="BK59" s="665"/>
      <c r="BL59" s="665"/>
    </row>
    <row r="60" spans="2:64" ht="11.1" customHeight="1">
      <c r="B60" s="374">
        <v>49</v>
      </c>
      <c r="C60" s="383"/>
      <c r="D60" s="113" t="s">
        <v>175</v>
      </c>
      <c r="E60" s="113"/>
      <c r="F60" s="431"/>
      <c r="G60" s="420">
        <f>'F1b Budget Aktuell'!G57</f>
        <v>2743</v>
      </c>
      <c r="H60" s="423">
        <f>'F1c Budget Neu'!G57</f>
        <v>3026</v>
      </c>
      <c r="I60" s="422">
        <f>(H60-H61)*(1+'F0b Planungsparameter'!$I25)+I61</f>
        <v>3038.3849999999998</v>
      </c>
      <c r="J60" s="420">
        <f>(I60-I61)*(1+'F0b Planungsparameter'!$J25)+J61</f>
        <v>3038.3849999999998</v>
      </c>
      <c r="K60" s="420">
        <f>(J60-J61)*(1+'F0b Planungsparameter'!$K25)+K61</f>
        <v>3050.8319249999995</v>
      </c>
      <c r="L60" s="420">
        <f>(K60-K61)*(1+'F0b Planungsparameter'!$L25)+L61</f>
        <v>3050.8319249999995</v>
      </c>
      <c r="M60" s="423">
        <f>(L60-L61)*(1+'F0b Planungsparameter'!$M25)+M61</f>
        <v>3063.3410846249994</v>
      </c>
      <c r="N60" s="602" t="str">
        <f t="shared" si="104"/>
        <v/>
      </c>
      <c r="O60" s="420">
        <f>'F1b Budget Aktuell'!I57</f>
        <v>576</v>
      </c>
      <c r="P60" s="423">
        <f>'F1c Budget Neu'!I57</f>
        <v>618</v>
      </c>
      <c r="Q60" s="422">
        <f>(P60-P61)*(1+'F0b Planungsparameter'!$I25)+Q61</f>
        <v>621.08999999999992</v>
      </c>
      <c r="R60" s="420">
        <f>(Q60-Q61)*(1+'F0b Planungsparameter'!$J25)+R61</f>
        <v>621.08999999999992</v>
      </c>
      <c r="S60" s="420">
        <f>(R60-R61)*(1+'F0b Planungsparameter'!$K25)+S61</f>
        <v>624.19544999999982</v>
      </c>
      <c r="T60" s="420">
        <f>(S60-S61)*(1+'F0b Planungsparameter'!$L25)+T61</f>
        <v>624.19544999999982</v>
      </c>
      <c r="U60" s="423">
        <f>(T60-T61)*(1+'F0b Planungsparameter'!$M25)+U61</f>
        <v>627.31642724999972</v>
      </c>
      <c r="W60" s="420">
        <f>'F1b Budget Aktuell'!$J57</f>
        <v>1670</v>
      </c>
      <c r="X60" s="423">
        <f>'F1c Budget Neu'!$J57</f>
        <v>1859</v>
      </c>
      <c r="Y60" s="422">
        <f>(X60-X61)*(1+'F0b Planungsparameter'!$I25)+Y61</f>
        <v>1868.2949999999998</v>
      </c>
      <c r="Z60" s="420">
        <f>(Y60-Y61)*(1+'F0b Planungsparameter'!$J25)+Z61</f>
        <v>1868.2949999999998</v>
      </c>
      <c r="AA60" s="420">
        <f>(Z60-Z61)*(1+'F0b Planungsparameter'!$K25)+AA61</f>
        <v>1877.6364749999996</v>
      </c>
      <c r="AB60" s="420">
        <f>(AA60-AA61)*(1+'F0b Planungsparameter'!$L25)+AB61</f>
        <v>1877.6364749999996</v>
      </c>
      <c r="AC60" s="423">
        <f>(AB60-AB61)*(1+'F0b Planungsparameter'!$M25)+AC61</f>
        <v>1887.0246573749994</v>
      </c>
      <c r="AE60" s="420">
        <f>'F1b Budget Aktuell'!$K57</f>
        <v>0</v>
      </c>
      <c r="AF60" s="423">
        <f>'F1c Budget Neu'!$K57</f>
        <v>0</v>
      </c>
      <c r="AG60" s="422">
        <f>(AF60-AF61)*(1+'F0b Planungsparameter'!$I25)+AG61</f>
        <v>0</v>
      </c>
      <c r="AH60" s="420">
        <f>(AG60-AG61)*(1+'F0b Planungsparameter'!$J25)+AH61</f>
        <v>0</v>
      </c>
      <c r="AI60" s="420">
        <f>(AH60-AH61)*(1+'F0b Planungsparameter'!$K25)+AI61</f>
        <v>0</v>
      </c>
      <c r="AJ60" s="420">
        <f>(AI60-AI61)*(1+'F0b Planungsparameter'!$L25)+AJ61</f>
        <v>0</v>
      </c>
      <c r="AK60" s="423">
        <f>(AJ60-AJ61)*(1+'F0b Planungsparameter'!$M25)+AK61</f>
        <v>0</v>
      </c>
      <c r="AM60" s="420">
        <f>'F1b Budget Aktuell'!$L57</f>
        <v>20</v>
      </c>
      <c r="AN60" s="423">
        <f>'F1c Budget Neu'!$L57</f>
        <v>19</v>
      </c>
      <c r="AO60" s="422">
        <f>(AN60-AN61)*(1+'F0b Planungsparameter'!$I25)+AO61</f>
        <v>19.094999999999999</v>
      </c>
      <c r="AP60" s="420">
        <f>(AO60-AO61)*(1+'F0b Planungsparameter'!$J25)+AP61</f>
        <v>19.094999999999999</v>
      </c>
      <c r="AQ60" s="420">
        <f>(AP60-AP61)*(1+'F0b Planungsparameter'!$K25)+AQ61</f>
        <v>19.190474999999996</v>
      </c>
      <c r="AR60" s="420">
        <f>(AQ60-AQ61)*(1+'F0b Planungsparameter'!$L25)+AR61</f>
        <v>19.190474999999996</v>
      </c>
      <c r="AS60" s="423">
        <f>(AR60-AR61)*(1+'F0b Planungsparameter'!$M25)+AS61</f>
        <v>19.286427374999995</v>
      </c>
      <c r="AU60" s="420">
        <f>'F1b Budget Aktuell'!$M57</f>
        <v>66</v>
      </c>
      <c r="AV60" s="423">
        <f>'F1c Budget Neu'!$M57</f>
        <v>63</v>
      </c>
      <c r="AW60" s="422">
        <f>(AV60-AV61)*(1+'F0b Planungsparameter'!$I25)+AW61</f>
        <v>63.314999999999991</v>
      </c>
      <c r="AX60" s="420">
        <f>(AW60-AW61)*(1+'F0b Planungsparameter'!$J25)+AX61</f>
        <v>63.314999999999991</v>
      </c>
      <c r="AY60" s="420">
        <f>(AX60-AX61)*(1+'F0b Planungsparameter'!$K25)+AY61</f>
        <v>63.631574999999984</v>
      </c>
      <c r="AZ60" s="420">
        <f>(AY60-AY61)*(1+'F0b Planungsparameter'!$L25)+AZ61</f>
        <v>63.631574999999984</v>
      </c>
      <c r="BA60" s="423">
        <f>(AZ60-AZ61)*(1+'F0b Planungsparameter'!$M25)+BA61</f>
        <v>63.949732874999974</v>
      </c>
      <c r="BC60" s="420">
        <f>'F1b Budget Aktuell'!$N57</f>
        <v>411</v>
      </c>
      <c r="BD60" s="423">
        <f>'F1c Budget Neu'!$N57</f>
        <v>467</v>
      </c>
      <c r="BE60" s="422">
        <f>(BD60-BD61)*(1+'F0b Planungsparameter'!$I25)+BE61</f>
        <v>466.59000000000003</v>
      </c>
      <c r="BF60" s="420">
        <f>(BE60-BE61)*(1+'F0b Planungsparameter'!$J25)+BF61</f>
        <v>466.59000000000003</v>
      </c>
      <c r="BG60" s="420">
        <f>(BF60-BF61)*(1+'F0b Planungsparameter'!$K25)+BG61</f>
        <v>466.17795000000001</v>
      </c>
      <c r="BH60" s="420">
        <f>(BG60-BG61)*(1+'F0b Planungsparameter'!$L25)+BH61</f>
        <v>466.17795000000001</v>
      </c>
      <c r="BI60" s="423">
        <f>(BH60-BH61)*(1+'F0b Planungsparameter'!$M25)+BI61</f>
        <v>465.76383974999999</v>
      </c>
    </row>
    <row r="61" spans="2:64" s="644" customFormat="1" ht="11.1" customHeight="1">
      <c r="B61" s="650"/>
      <c r="C61" s="651">
        <v>494</v>
      </c>
      <c r="D61" s="643"/>
      <c r="E61" s="1426" t="s">
        <v>151</v>
      </c>
      <c r="F61" s="1427"/>
      <c r="G61" s="652">
        <f>'F1b Budget Aktuell'!G58</f>
        <v>497</v>
      </c>
      <c r="H61" s="868">
        <f>'F1c Budget Neu'!G58</f>
        <v>549</v>
      </c>
      <c r="I61" s="866">
        <f>H61</f>
        <v>549</v>
      </c>
      <c r="J61" s="654">
        <f t="shared" ref="J61:M61" si="132">I61</f>
        <v>549</v>
      </c>
      <c r="K61" s="654">
        <f t="shared" si="132"/>
        <v>549</v>
      </c>
      <c r="L61" s="654">
        <f t="shared" si="132"/>
        <v>549</v>
      </c>
      <c r="M61" s="654">
        <f t="shared" si="132"/>
        <v>549</v>
      </c>
      <c r="N61" s="602" t="str">
        <f t="shared" si="104"/>
        <v/>
      </c>
      <c r="O61" s="652">
        <f>'F1b Budget Aktuell'!I58</f>
        <v>0</v>
      </c>
      <c r="P61" s="868">
        <f>'F1c Budget Neu'!I58</f>
        <v>0</v>
      </c>
      <c r="Q61" s="866">
        <f>P61</f>
        <v>0</v>
      </c>
      <c r="R61" s="654">
        <f t="shared" ref="R61:U61" si="133">Q61</f>
        <v>0</v>
      </c>
      <c r="S61" s="654">
        <f t="shared" si="133"/>
        <v>0</v>
      </c>
      <c r="T61" s="654">
        <f t="shared" si="133"/>
        <v>0</v>
      </c>
      <c r="U61" s="654">
        <f t="shared" si="133"/>
        <v>0</v>
      </c>
      <c r="W61" s="652">
        <f>'F1b Budget Aktuell'!$J58</f>
        <v>0</v>
      </c>
      <c r="X61" s="868">
        <f>'F1c Budget Neu'!$J58</f>
        <v>0</v>
      </c>
      <c r="Y61" s="866">
        <f>X61</f>
        <v>0</v>
      </c>
      <c r="Z61" s="654">
        <f t="shared" ref="Z61" si="134">Y61</f>
        <v>0</v>
      </c>
      <c r="AA61" s="654">
        <f t="shared" ref="AA61" si="135">Z61</f>
        <v>0</v>
      </c>
      <c r="AB61" s="654">
        <f t="shared" ref="AB61" si="136">AA61</f>
        <v>0</v>
      </c>
      <c r="AC61" s="654">
        <f t="shared" ref="AC61" si="137">AB61</f>
        <v>0</v>
      </c>
      <c r="AE61" s="652">
        <f>'F1b Budget Aktuell'!$K58</f>
        <v>0</v>
      </c>
      <c r="AF61" s="868">
        <f>'F1c Budget Neu'!$K58</f>
        <v>0</v>
      </c>
      <c r="AG61" s="866">
        <f>AF61</f>
        <v>0</v>
      </c>
      <c r="AH61" s="654">
        <f t="shared" ref="AH61" si="138">AG61</f>
        <v>0</v>
      </c>
      <c r="AI61" s="654">
        <f t="shared" ref="AI61" si="139">AH61</f>
        <v>0</v>
      </c>
      <c r="AJ61" s="654">
        <f t="shared" ref="AJ61" si="140">AI61</f>
        <v>0</v>
      </c>
      <c r="AK61" s="654">
        <f t="shared" ref="AK61" si="141">AJ61</f>
        <v>0</v>
      </c>
      <c r="AM61" s="652">
        <f>'F1b Budget Aktuell'!$L58</f>
        <v>0</v>
      </c>
      <c r="AN61" s="868">
        <f>'F1c Budget Neu'!$L58</f>
        <v>0</v>
      </c>
      <c r="AO61" s="866">
        <f>AN61</f>
        <v>0</v>
      </c>
      <c r="AP61" s="654">
        <f t="shared" ref="AP61" si="142">AO61</f>
        <v>0</v>
      </c>
      <c r="AQ61" s="654">
        <f t="shared" ref="AQ61" si="143">AP61</f>
        <v>0</v>
      </c>
      <c r="AR61" s="654">
        <f t="shared" ref="AR61" si="144">AQ61</f>
        <v>0</v>
      </c>
      <c r="AS61" s="654">
        <f t="shared" ref="AS61" si="145">AR61</f>
        <v>0</v>
      </c>
      <c r="AU61" s="652">
        <f>'F1b Budget Aktuell'!$M58</f>
        <v>0</v>
      </c>
      <c r="AV61" s="868">
        <f>'F1c Budget Neu'!$M58</f>
        <v>0</v>
      </c>
      <c r="AW61" s="866">
        <f>AV61</f>
        <v>0</v>
      </c>
      <c r="AX61" s="654">
        <f t="shared" ref="AX61" si="146">AW61</f>
        <v>0</v>
      </c>
      <c r="AY61" s="654">
        <f t="shared" ref="AY61" si="147">AX61</f>
        <v>0</v>
      </c>
      <c r="AZ61" s="654">
        <f t="shared" ref="AZ61" si="148">AY61</f>
        <v>0</v>
      </c>
      <c r="BA61" s="654">
        <f t="shared" ref="BA61" si="149">AZ61</f>
        <v>0</v>
      </c>
      <c r="BC61" s="652">
        <f>'F1b Budget Aktuell'!$N58</f>
        <v>497</v>
      </c>
      <c r="BD61" s="868">
        <f>'F1c Budget Neu'!$N58</f>
        <v>549</v>
      </c>
      <c r="BE61" s="866">
        <f>BD61</f>
        <v>549</v>
      </c>
      <c r="BF61" s="654">
        <f t="shared" ref="BF61" si="150">BE61</f>
        <v>549</v>
      </c>
      <c r="BG61" s="654">
        <f t="shared" ref="BG61" si="151">BF61</f>
        <v>549</v>
      </c>
      <c r="BH61" s="654">
        <f t="shared" ref="BH61" si="152">BG61</f>
        <v>549</v>
      </c>
      <c r="BI61" s="654">
        <f t="shared" ref="BI61" si="153">BH61</f>
        <v>549</v>
      </c>
    </row>
    <row r="62" spans="2:64" ht="6" customHeight="1">
      <c r="B62" s="425"/>
      <c r="C62" s="768"/>
      <c r="D62" s="291"/>
      <c r="E62" s="426"/>
      <c r="F62" s="426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W62" s="379"/>
      <c r="X62" s="379"/>
      <c r="Y62" s="379"/>
      <c r="Z62" s="379"/>
      <c r="AA62" s="379"/>
      <c r="AB62" s="379"/>
      <c r="AC62" s="379"/>
      <c r="AE62" s="379"/>
      <c r="AF62" s="379"/>
      <c r="AG62" s="379"/>
      <c r="AH62" s="379"/>
      <c r="AI62" s="379"/>
      <c r="AJ62" s="379"/>
      <c r="AK62" s="379"/>
      <c r="AM62" s="379"/>
      <c r="AN62" s="379"/>
      <c r="AO62" s="379"/>
      <c r="AP62" s="379"/>
      <c r="AQ62" s="379"/>
      <c r="AR62" s="379"/>
      <c r="AS62" s="379"/>
      <c r="AU62" s="379"/>
      <c r="AV62" s="379"/>
      <c r="AW62" s="379"/>
      <c r="AX62" s="379"/>
      <c r="AY62" s="379"/>
      <c r="AZ62" s="379"/>
      <c r="BA62" s="379"/>
      <c r="BC62" s="379"/>
      <c r="BD62" s="379"/>
      <c r="BE62" s="379"/>
      <c r="BF62" s="379"/>
      <c r="BG62" s="379"/>
      <c r="BH62" s="379"/>
      <c r="BI62" s="379"/>
    </row>
    <row r="63" spans="2:64" ht="6" customHeight="1">
      <c r="B63" s="432"/>
      <c r="C63" s="432"/>
      <c r="D63" s="397"/>
      <c r="E63" s="398"/>
      <c r="F63" s="398"/>
      <c r="G63" s="376"/>
      <c r="H63" s="376"/>
      <c r="I63" s="376"/>
      <c r="J63" s="376"/>
      <c r="K63" s="376"/>
      <c r="L63" s="376"/>
      <c r="M63" s="376"/>
      <c r="N63" s="379"/>
      <c r="O63" s="376"/>
      <c r="P63" s="376"/>
      <c r="Q63" s="376"/>
      <c r="R63" s="376"/>
      <c r="S63" s="376"/>
      <c r="T63" s="376"/>
      <c r="U63" s="376"/>
      <c r="W63" s="376"/>
      <c r="X63" s="376"/>
      <c r="Y63" s="376"/>
      <c r="Z63" s="376"/>
      <c r="AA63" s="376"/>
      <c r="AB63" s="376"/>
      <c r="AC63" s="376"/>
      <c r="AE63" s="376"/>
      <c r="AF63" s="376"/>
      <c r="AG63" s="376"/>
      <c r="AH63" s="376"/>
      <c r="AI63" s="376"/>
      <c r="AJ63" s="376"/>
      <c r="AK63" s="376"/>
      <c r="AM63" s="376"/>
      <c r="AN63" s="376"/>
      <c r="AO63" s="376"/>
      <c r="AP63" s="376"/>
      <c r="AQ63" s="376"/>
      <c r="AR63" s="376"/>
      <c r="AS63" s="376"/>
      <c r="AU63" s="376"/>
      <c r="AV63" s="376"/>
      <c r="AW63" s="376"/>
      <c r="AX63" s="376"/>
      <c r="AY63" s="376"/>
      <c r="AZ63" s="376"/>
      <c r="BA63" s="376"/>
      <c r="BC63" s="376"/>
      <c r="BD63" s="376"/>
      <c r="BE63" s="376"/>
      <c r="BF63" s="376"/>
      <c r="BG63" s="376"/>
      <c r="BH63" s="376"/>
      <c r="BI63" s="376"/>
    </row>
    <row r="64" spans="2:64">
      <c r="B64" s="85"/>
      <c r="C64" s="333"/>
      <c r="D64" s="107" t="s">
        <v>99</v>
      </c>
      <c r="E64" s="85"/>
      <c r="F64" s="85"/>
      <c r="G64" s="386">
        <f>G36</f>
        <v>23975</v>
      </c>
      <c r="H64" s="384">
        <f t="shared" ref="H64:M64" si="154">H36</f>
        <v>24755</v>
      </c>
      <c r="I64" s="433">
        <f t="shared" si="154"/>
        <v>24606.379999999994</v>
      </c>
      <c r="J64" s="386">
        <f t="shared" si="154"/>
        <v>24742.487549499998</v>
      </c>
      <c r="K64" s="386">
        <f>K36</f>
        <v>24949.409974974897</v>
      </c>
      <c r="L64" s="386">
        <f t="shared" si="154"/>
        <v>25154.349401277119</v>
      </c>
      <c r="M64" s="384">
        <f t="shared" si="154"/>
        <v>25438.341433318037</v>
      </c>
      <c r="N64" s="602" t="str">
        <f>IF(SUM(G64:M64)=SUM(O64:YS64),"",SUM(O64:YS64)-SUM(G64:M64))</f>
        <v/>
      </c>
      <c r="O64" s="386">
        <f>O36</f>
        <v>710</v>
      </c>
      <c r="P64" s="384">
        <f t="shared" ref="P64:U64" si="155">P36</f>
        <v>743</v>
      </c>
      <c r="Q64" s="433">
        <f t="shared" si="155"/>
        <v>746.79</v>
      </c>
      <c r="R64" s="386">
        <f t="shared" si="155"/>
        <v>747.49549999999988</v>
      </c>
      <c r="S64" s="386">
        <f t="shared" si="155"/>
        <v>751.31199749999985</v>
      </c>
      <c r="T64" s="386">
        <f t="shared" si="155"/>
        <v>752.0286404374998</v>
      </c>
      <c r="U64" s="384">
        <f t="shared" si="155"/>
        <v>755.87190444168721</v>
      </c>
      <c r="W64" s="386">
        <f t="shared" ref="W64:AC64" si="156">W36</f>
        <v>4659</v>
      </c>
      <c r="X64" s="384">
        <f t="shared" si="156"/>
        <v>5035</v>
      </c>
      <c r="Y64" s="433">
        <f t="shared" si="156"/>
        <v>5060.57</v>
      </c>
      <c r="Z64" s="386">
        <f t="shared" si="156"/>
        <v>5076.9318749999993</v>
      </c>
      <c r="AA64" s="386">
        <f t="shared" si="156"/>
        <v>5102.7225893749983</v>
      </c>
      <c r="AB64" s="386">
        <f t="shared" si="156"/>
        <v>5119.2596854968733</v>
      </c>
      <c r="AC64" s="384">
        <f t="shared" si="156"/>
        <v>5145.2733161298574</v>
      </c>
      <c r="AE64" s="386">
        <f t="shared" ref="AE64:AK64" si="157">AE36</f>
        <v>2</v>
      </c>
      <c r="AF64" s="384">
        <f t="shared" si="157"/>
        <v>4</v>
      </c>
      <c r="AG64" s="433">
        <f t="shared" si="157"/>
        <v>4.04</v>
      </c>
      <c r="AH64" s="386">
        <f t="shared" si="157"/>
        <v>4.0804</v>
      </c>
      <c r="AI64" s="386">
        <f t="shared" si="157"/>
        <v>4.1212039999999996</v>
      </c>
      <c r="AJ64" s="386">
        <f t="shared" si="157"/>
        <v>4.1624160400000001</v>
      </c>
      <c r="AK64" s="384">
        <f t="shared" si="157"/>
        <v>4.2040402003999997</v>
      </c>
      <c r="AM64" s="386">
        <f t="shared" ref="AM64:AS64" si="158">AM36</f>
        <v>6142</v>
      </c>
      <c r="AN64" s="384">
        <f t="shared" si="158"/>
        <v>6295</v>
      </c>
      <c r="AO64" s="433">
        <f t="shared" si="158"/>
        <v>6351.3</v>
      </c>
      <c r="AP64" s="386">
        <f t="shared" si="158"/>
        <v>6408.0413250000011</v>
      </c>
      <c r="AQ64" s="386">
        <f t="shared" si="158"/>
        <v>6465.4196846250006</v>
      </c>
      <c r="AR64" s="386">
        <f t="shared" si="158"/>
        <v>6523.2494152031259</v>
      </c>
      <c r="AS64" s="384">
        <f t="shared" si="158"/>
        <v>6581.7272826544404</v>
      </c>
      <c r="AU64" s="386">
        <f t="shared" ref="AU64:BA64" si="159">AU36</f>
        <v>1675</v>
      </c>
      <c r="AV64" s="384">
        <f t="shared" si="159"/>
        <v>1691</v>
      </c>
      <c r="AW64" s="433">
        <f t="shared" si="159"/>
        <v>1367.68</v>
      </c>
      <c r="AX64" s="386">
        <f t="shared" si="159"/>
        <v>1380.1661750000003</v>
      </c>
      <c r="AY64" s="386">
        <f t="shared" si="159"/>
        <v>1393.0912993750001</v>
      </c>
      <c r="AZ64" s="386">
        <f t="shared" si="159"/>
        <v>1405.8234344318751</v>
      </c>
      <c r="BA64" s="384">
        <f t="shared" si="159"/>
        <v>1418.9985364033844</v>
      </c>
      <c r="BC64" s="386">
        <f t="shared" ref="BC64:BI64" si="160">BC36</f>
        <v>10787</v>
      </c>
      <c r="BD64" s="384">
        <f t="shared" si="160"/>
        <v>10987</v>
      </c>
      <c r="BE64" s="433">
        <f t="shared" si="160"/>
        <v>11076</v>
      </c>
      <c r="BF64" s="386">
        <f t="shared" si="160"/>
        <v>11125.772274499999</v>
      </c>
      <c r="BG64" s="386">
        <f t="shared" si="160"/>
        <v>11232.7432000999</v>
      </c>
      <c r="BH64" s="386">
        <f t="shared" si="160"/>
        <v>11349.825809667745</v>
      </c>
      <c r="BI64" s="384">
        <f t="shared" si="160"/>
        <v>11532.266353488263</v>
      </c>
    </row>
    <row r="65" spans="2:61">
      <c r="B65" s="85"/>
      <c r="C65" s="333"/>
      <c r="D65" s="107" t="s">
        <v>100</v>
      </c>
      <c r="E65" s="85"/>
      <c r="F65" s="85"/>
      <c r="G65" s="386">
        <f t="shared" ref="G65:M65" si="161">G13</f>
        <v>23944</v>
      </c>
      <c r="H65" s="384">
        <f t="shared" si="161"/>
        <v>24742</v>
      </c>
      <c r="I65" s="433">
        <f t="shared" si="161"/>
        <v>23517.654999999999</v>
      </c>
      <c r="J65" s="386">
        <f t="shared" si="161"/>
        <v>23601.813699999995</v>
      </c>
      <c r="K65" s="386">
        <f t="shared" si="161"/>
        <v>23719.472768499996</v>
      </c>
      <c r="L65" s="386">
        <f t="shared" si="161"/>
        <v>23804.475159467489</v>
      </c>
      <c r="M65" s="384">
        <f t="shared" si="161"/>
        <v>23868.147535264823</v>
      </c>
      <c r="N65" s="602" t="str">
        <f>IF(SUM(G65:M65)=SUM(O65:YS65),"",SUM(O65:YS65)-SUM(G65:M65))</f>
        <v/>
      </c>
      <c r="O65" s="386">
        <f t="shared" ref="O65:U65" si="162">O13</f>
        <v>1486</v>
      </c>
      <c r="P65" s="384">
        <f t="shared" si="162"/>
        <v>1528</v>
      </c>
      <c r="Q65" s="433">
        <f t="shared" si="162"/>
        <v>1421.07</v>
      </c>
      <c r="R65" s="386">
        <f t="shared" si="162"/>
        <v>1425.4166249999998</v>
      </c>
      <c r="S65" s="386">
        <f t="shared" si="162"/>
        <v>1432.5437081249995</v>
      </c>
      <c r="T65" s="386">
        <f t="shared" si="162"/>
        <v>1436.9339080406246</v>
      </c>
      <c r="U65" s="384">
        <f t="shared" si="162"/>
        <v>1444.1185775808276</v>
      </c>
      <c r="W65" s="386">
        <f t="shared" ref="W65:AC65" si="163">W13</f>
        <v>8220</v>
      </c>
      <c r="X65" s="384">
        <f t="shared" si="163"/>
        <v>8759</v>
      </c>
      <c r="Y65" s="433">
        <f t="shared" si="163"/>
        <v>8346.5249999999978</v>
      </c>
      <c r="Z65" s="386">
        <f t="shared" si="163"/>
        <v>8374.4237999999987</v>
      </c>
      <c r="AA65" s="386">
        <f t="shared" si="163"/>
        <v>8416.2959189999983</v>
      </c>
      <c r="AB65" s="386">
        <f t="shared" si="163"/>
        <v>8444.4744044699983</v>
      </c>
      <c r="AC65" s="384">
        <f t="shared" si="163"/>
        <v>8486.6967764923465</v>
      </c>
      <c r="AE65" s="386">
        <f t="shared" ref="AE65:AK65" si="164">AE13</f>
        <v>498</v>
      </c>
      <c r="AF65" s="384">
        <f t="shared" si="164"/>
        <v>583</v>
      </c>
      <c r="AG65" s="433">
        <f t="shared" si="164"/>
        <v>535.66499999999996</v>
      </c>
      <c r="AH65" s="386">
        <f t="shared" si="164"/>
        <v>536.35844999999995</v>
      </c>
      <c r="AI65" s="386">
        <f t="shared" si="164"/>
        <v>539.04024224999989</v>
      </c>
      <c r="AJ65" s="386">
        <f t="shared" si="164"/>
        <v>539.74064408624986</v>
      </c>
      <c r="AK65" s="384">
        <f t="shared" si="164"/>
        <v>542.43934730668104</v>
      </c>
      <c r="AM65" s="386">
        <f t="shared" ref="AM65:AS65" si="165">AM13</f>
        <v>10224</v>
      </c>
      <c r="AN65" s="384">
        <f t="shared" si="165"/>
        <v>10317</v>
      </c>
      <c r="AO65" s="433">
        <f t="shared" si="165"/>
        <v>10037.94</v>
      </c>
      <c r="AP65" s="386">
        <f t="shared" si="165"/>
        <v>10083.084599999998</v>
      </c>
      <c r="AQ65" s="386">
        <f t="shared" si="165"/>
        <v>10133.500022999997</v>
      </c>
      <c r="AR65" s="386">
        <f t="shared" si="165"/>
        <v>10179.097197614996</v>
      </c>
      <c r="AS65" s="384">
        <f t="shared" si="165"/>
        <v>10229.99268360307</v>
      </c>
      <c r="AU65" s="386">
        <f t="shared" ref="AU65:BA65" si="166">AU13</f>
        <v>3229</v>
      </c>
      <c r="AV65" s="384">
        <f t="shared" si="166"/>
        <v>3286</v>
      </c>
      <c r="AW65" s="433">
        <f t="shared" si="166"/>
        <v>2907.4649999999997</v>
      </c>
      <c r="AX65" s="386">
        <f t="shared" si="166"/>
        <v>2913.4799249999996</v>
      </c>
      <c r="AY65" s="386">
        <f t="shared" si="166"/>
        <v>2928.0473246249994</v>
      </c>
      <c r="AZ65" s="386">
        <f t="shared" si="166"/>
        <v>2934.1225492481244</v>
      </c>
      <c r="BA65" s="384">
        <f t="shared" si="166"/>
        <v>2948.7931619943643</v>
      </c>
      <c r="BC65" s="386">
        <f t="shared" ref="BC65:BI65" si="167">BC13</f>
        <v>287</v>
      </c>
      <c r="BD65" s="384">
        <f t="shared" si="167"/>
        <v>269</v>
      </c>
      <c r="BE65" s="433">
        <f t="shared" si="167"/>
        <v>268.99</v>
      </c>
      <c r="BF65" s="386">
        <f t="shared" si="167"/>
        <v>269.05029999999999</v>
      </c>
      <c r="BG65" s="386">
        <f t="shared" si="167"/>
        <v>270.04555149999993</v>
      </c>
      <c r="BH65" s="386">
        <f t="shared" si="167"/>
        <v>270.10645600749996</v>
      </c>
      <c r="BI65" s="384">
        <f t="shared" si="167"/>
        <v>216.10698828753743</v>
      </c>
    </row>
    <row r="66" spans="2:61" ht="6" customHeight="1">
      <c r="B66" s="85"/>
      <c r="C66" s="333"/>
      <c r="D66" s="85"/>
      <c r="E66" s="85"/>
      <c r="F66" s="85"/>
      <c r="G66" s="389"/>
      <c r="H66" s="389"/>
      <c r="I66" s="389"/>
      <c r="J66" s="389"/>
      <c r="K66" s="389"/>
      <c r="L66" s="389"/>
      <c r="M66" s="389"/>
      <c r="N66" s="379"/>
      <c r="O66" s="389"/>
      <c r="P66" s="389"/>
      <c r="Q66" s="389"/>
      <c r="R66" s="389"/>
      <c r="S66" s="389"/>
      <c r="T66" s="389"/>
      <c r="U66" s="389"/>
      <c r="W66" s="389"/>
      <c r="X66" s="389"/>
      <c r="Y66" s="389"/>
      <c r="Z66" s="389"/>
      <c r="AA66" s="389"/>
      <c r="AB66" s="389"/>
      <c r="AC66" s="389"/>
      <c r="AE66" s="389"/>
      <c r="AF66" s="389"/>
      <c r="AG66" s="389"/>
      <c r="AH66" s="389"/>
      <c r="AI66" s="389"/>
      <c r="AJ66" s="389"/>
      <c r="AK66" s="389"/>
      <c r="AM66" s="389"/>
      <c r="AN66" s="389"/>
      <c r="AO66" s="389"/>
      <c r="AP66" s="389"/>
      <c r="AQ66" s="389"/>
      <c r="AR66" s="389"/>
      <c r="AS66" s="389"/>
      <c r="AU66" s="389"/>
      <c r="AV66" s="389"/>
      <c r="AW66" s="389"/>
      <c r="AX66" s="389"/>
      <c r="AY66" s="389"/>
      <c r="AZ66" s="389"/>
      <c r="BA66" s="389"/>
      <c r="BC66" s="389"/>
      <c r="BD66" s="389"/>
      <c r="BE66" s="389"/>
      <c r="BF66" s="389"/>
      <c r="BG66" s="389"/>
      <c r="BH66" s="389"/>
      <c r="BI66" s="389"/>
    </row>
    <row r="67" spans="2:61">
      <c r="B67" s="85"/>
      <c r="C67" s="333"/>
      <c r="D67" s="85" t="s">
        <v>101</v>
      </c>
      <c r="E67" s="85"/>
      <c r="F67" s="85"/>
      <c r="G67" s="389">
        <f>IF(G64&gt;=G65,G64-G65,0)</f>
        <v>31</v>
      </c>
      <c r="H67" s="389">
        <f>IF(H64&gt;=H65,H64-H65,0)</f>
        <v>13</v>
      </c>
      <c r="I67" s="389">
        <f t="shared" ref="I67:M67" si="168">IF(I64&gt;=I65,I64-I65,0)</f>
        <v>1088.7249999999949</v>
      </c>
      <c r="J67" s="389">
        <f t="shared" si="168"/>
        <v>1140.6738495000027</v>
      </c>
      <c r="K67" s="389">
        <f t="shared" si="168"/>
        <v>1229.9372064749004</v>
      </c>
      <c r="L67" s="389">
        <f t="shared" si="168"/>
        <v>1349.8742418096299</v>
      </c>
      <c r="M67" s="389">
        <f t="shared" si="168"/>
        <v>1570.1938980532141</v>
      </c>
      <c r="N67" s="389"/>
      <c r="O67" s="389">
        <f>IF(O64&gt;=O65,O64-O65,0)</f>
        <v>0</v>
      </c>
      <c r="P67" s="389">
        <f>IF(P64&gt;=P65,P64-P65,0)</f>
        <v>0</v>
      </c>
      <c r="Q67" s="389">
        <f t="shared" ref="Q67:U67" si="169">IF(Q64&gt;=Q65,Q64-Q65,0)</f>
        <v>0</v>
      </c>
      <c r="R67" s="389">
        <f t="shared" si="169"/>
        <v>0</v>
      </c>
      <c r="S67" s="389">
        <f t="shared" si="169"/>
        <v>0</v>
      </c>
      <c r="T67" s="389">
        <f t="shared" si="169"/>
        <v>0</v>
      </c>
      <c r="U67" s="389">
        <f t="shared" si="169"/>
        <v>0</v>
      </c>
      <c r="W67" s="389">
        <f>IF(W64&gt;=W65,W64-W65,0)</f>
        <v>0</v>
      </c>
      <c r="X67" s="389">
        <f>IF(X64&gt;=X65,X64-X65,0)</f>
        <v>0</v>
      </c>
      <c r="Y67" s="389">
        <f t="shared" ref="Y67:AC67" si="170">IF(Y64&gt;=Y65,Y64-Y65,0)</f>
        <v>0</v>
      </c>
      <c r="Z67" s="389">
        <f t="shared" si="170"/>
        <v>0</v>
      </c>
      <c r="AA67" s="389">
        <f t="shared" si="170"/>
        <v>0</v>
      </c>
      <c r="AB67" s="389">
        <f t="shared" si="170"/>
        <v>0</v>
      </c>
      <c r="AC67" s="389">
        <f t="shared" si="170"/>
        <v>0</v>
      </c>
      <c r="AE67" s="389">
        <f>IF(AE64&gt;=AE65,AE64-AE65,0)</f>
        <v>0</v>
      </c>
      <c r="AF67" s="389">
        <f>IF(AF64&gt;=AF65,AF64-AF65,0)</f>
        <v>0</v>
      </c>
      <c r="AG67" s="389">
        <f t="shared" ref="AG67:AK67" si="171">IF(AG64&gt;=AG65,AG64-AG65,0)</f>
        <v>0</v>
      </c>
      <c r="AH67" s="389">
        <f t="shared" si="171"/>
        <v>0</v>
      </c>
      <c r="AI67" s="389">
        <f t="shared" si="171"/>
        <v>0</v>
      </c>
      <c r="AJ67" s="389">
        <f t="shared" si="171"/>
        <v>0</v>
      </c>
      <c r="AK67" s="389">
        <f t="shared" si="171"/>
        <v>0</v>
      </c>
      <c r="AM67" s="389">
        <f>IF(AM64&gt;=AM65,AM64-AM65,0)</f>
        <v>0</v>
      </c>
      <c r="AN67" s="389">
        <f>IF(AN64&gt;=AN65,AN64-AN65,0)</f>
        <v>0</v>
      </c>
      <c r="AO67" s="389">
        <f t="shared" ref="AO67:AS67" si="172">IF(AO64&gt;=AO65,AO64-AO65,0)</f>
        <v>0</v>
      </c>
      <c r="AP67" s="389">
        <f t="shared" si="172"/>
        <v>0</v>
      </c>
      <c r="AQ67" s="389">
        <f t="shared" si="172"/>
        <v>0</v>
      </c>
      <c r="AR67" s="389">
        <f t="shared" si="172"/>
        <v>0</v>
      </c>
      <c r="AS67" s="389">
        <f t="shared" si="172"/>
        <v>0</v>
      </c>
      <c r="AU67" s="389">
        <f>IF(AU64&gt;=AU65,AU64-AU65,0)</f>
        <v>0</v>
      </c>
      <c r="AV67" s="389">
        <f>IF(AV64&gt;=AV65,AV64-AV65,0)</f>
        <v>0</v>
      </c>
      <c r="AW67" s="389">
        <f t="shared" ref="AW67:BA67" si="173">IF(AW64&gt;=AW65,AW64-AW65,0)</f>
        <v>0</v>
      </c>
      <c r="AX67" s="389">
        <f t="shared" si="173"/>
        <v>0</v>
      </c>
      <c r="AY67" s="389">
        <f t="shared" si="173"/>
        <v>0</v>
      </c>
      <c r="AZ67" s="389">
        <f t="shared" si="173"/>
        <v>0</v>
      </c>
      <c r="BA67" s="389">
        <f t="shared" si="173"/>
        <v>0</v>
      </c>
      <c r="BC67" s="389">
        <f>IF(BC64&gt;=BC65,BC64-BC65,0)</f>
        <v>10500</v>
      </c>
      <c r="BD67" s="389">
        <f>IF(BD64&gt;=BD65,BD64-BD65,0)</f>
        <v>10718</v>
      </c>
      <c r="BE67" s="389">
        <f t="shared" ref="BE67:BI67" si="174">IF(BE64&gt;=BE65,BE64-BE65,0)</f>
        <v>10807.01</v>
      </c>
      <c r="BF67" s="389">
        <f t="shared" si="174"/>
        <v>10856.721974499998</v>
      </c>
      <c r="BG67" s="389">
        <f t="shared" si="174"/>
        <v>10962.6976485999</v>
      </c>
      <c r="BH67" s="389">
        <f t="shared" si="174"/>
        <v>11079.719353660246</v>
      </c>
      <c r="BI67" s="389">
        <f t="shared" si="174"/>
        <v>11316.159365200725</v>
      </c>
    </row>
    <row r="68" spans="2:61">
      <c r="B68" s="85"/>
      <c r="C68" s="333"/>
      <c r="D68" s="85" t="s">
        <v>102</v>
      </c>
      <c r="E68" s="85"/>
      <c r="F68" s="85"/>
      <c r="G68" s="389">
        <f t="shared" ref="G68:M68" si="175">IF(G64&lt;=G65,G65-G64,0)</f>
        <v>0</v>
      </c>
      <c r="H68" s="389">
        <f t="shared" si="175"/>
        <v>0</v>
      </c>
      <c r="I68" s="389">
        <f t="shared" si="175"/>
        <v>0</v>
      </c>
      <c r="J68" s="389">
        <f t="shared" si="175"/>
        <v>0</v>
      </c>
      <c r="K68" s="389">
        <f t="shared" si="175"/>
        <v>0</v>
      </c>
      <c r="L68" s="389">
        <f t="shared" si="175"/>
        <v>0</v>
      </c>
      <c r="M68" s="389">
        <f t="shared" si="175"/>
        <v>0</v>
      </c>
      <c r="N68" s="389"/>
      <c r="O68" s="389">
        <f t="shared" ref="O68:U68" si="176">IF(O64&lt;=O65,O65-O64,0)</f>
        <v>776</v>
      </c>
      <c r="P68" s="389">
        <f t="shared" si="176"/>
        <v>785</v>
      </c>
      <c r="Q68" s="389">
        <f t="shared" si="176"/>
        <v>674.28</v>
      </c>
      <c r="R68" s="389">
        <f t="shared" si="176"/>
        <v>677.92112499999996</v>
      </c>
      <c r="S68" s="389">
        <f t="shared" si="176"/>
        <v>681.23171062499966</v>
      </c>
      <c r="T68" s="389">
        <f t="shared" si="176"/>
        <v>684.9052676031248</v>
      </c>
      <c r="U68" s="389">
        <f t="shared" si="176"/>
        <v>688.2466731391404</v>
      </c>
      <c r="W68" s="389">
        <f t="shared" ref="W68:AC68" si="177">IF(W64&lt;=W65,W65-W64,0)</f>
        <v>3561</v>
      </c>
      <c r="X68" s="389">
        <f t="shared" si="177"/>
        <v>3724</v>
      </c>
      <c r="Y68" s="389">
        <f t="shared" si="177"/>
        <v>3285.9549999999981</v>
      </c>
      <c r="Z68" s="389">
        <f t="shared" si="177"/>
        <v>3297.4919249999994</v>
      </c>
      <c r="AA68" s="389">
        <f t="shared" si="177"/>
        <v>3313.573329625</v>
      </c>
      <c r="AB68" s="389">
        <f t="shared" si="177"/>
        <v>3325.2147189731249</v>
      </c>
      <c r="AC68" s="389">
        <f t="shared" si="177"/>
        <v>3341.4234603624891</v>
      </c>
      <c r="AE68" s="389">
        <f t="shared" ref="AE68:AK68" si="178">IF(AE64&lt;=AE65,AE65-AE64,0)</f>
        <v>496</v>
      </c>
      <c r="AF68" s="389">
        <f t="shared" si="178"/>
        <v>579</v>
      </c>
      <c r="AG68" s="389">
        <f t="shared" si="178"/>
        <v>531.625</v>
      </c>
      <c r="AH68" s="389">
        <f t="shared" si="178"/>
        <v>532.27804999999989</v>
      </c>
      <c r="AI68" s="389">
        <f t="shared" si="178"/>
        <v>534.91903824999986</v>
      </c>
      <c r="AJ68" s="389">
        <f t="shared" si="178"/>
        <v>535.57822804624982</v>
      </c>
      <c r="AK68" s="389">
        <f t="shared" si="178"/>
        <v>538.23530710628108</v>
      </c>
      <c r="AM68" s="389">
        <f t="shared" ref="AM68:AS68" si="179">IF(AM64&lt;=AM65,AM65-AM64,0)</f>
        <v>4082</v>
      </c>
      <c r="AN68" s="389">
        <f t="shared" si="179"/>
        <v>4022</v>
      </c>
      <c r="AO68" s="389">
        <f t="shared" si="179"/>
        <v>3686.6400000000003</v>
      </c>
      <c r="AP68" s="389">
        <f t="shared" si="179"/>
        <v>3675.0432749999973</v>
      </c>
      <c r="AQ68" s="389">
        <f t="shared" si="179"/>
        <v>3668.0803383749962</v>
      </c>
      <c r="AR68" s="389">
        <f t="shared" si="179"/>
        <v>3655.84778241187</v>
      </c>
      <c r="AS68" s="389">
        <f t="shared" si="179"/>
        <v>3648.2654009486296</v>
      </c>
      <c r="AU68" s="389">
        <f t="shared" ref="AU68:BA68" si="180">IF(AU64&lt;=AU65,AU65-AU64,0)</f>
        <v>1554</v>
      </c>
      <c r="AV68" s="389">
        <f t="shared" si="180"/>
        <v>1595</v>
      </c>
      <c r="AW68" s="389">
        <f t="shared" si="180"/>
        <v>1539.7849999999996</v>
      </c>
      <c r="AX68" s="389">
        <f t="shared" si="180"/>
        <v>1533.3137499999993</v>
      </c>
      <c r="AY68" s="389">
        <f t="shared" si="180"/>
        <v>1534.9560252499994</v>
      </c>
      <c r="AZ68" s="389">
        <f t="shared" si="180"/>
        <v>1528.2991148162494</v>
      </c>
      <c r="BA68" s="389">
        <f t="shared" si="180"/>
        <v>1529.7946255909799</v>
      </c>
      <c r="BC68" s="389">
        <f t="shared" ref="BC68:BI68" si="181">IF(BC64&lt;=BC65,BC65-BC64,0)</f>
        <v>0</v>
      </c>
      <c r="BD68" s="389">
        <f t="shared" si="181"/>
        <v>0</v>
      </c>
      <c r="BE68" s="389">
        <f t="shared" si="181"/>
        <v>0</v>
      </c>
      <c r="BF68" s="389">
        <f t="shared" si="181"/>
        <v>0</v>
      </c>
      <c r="BG68" s="389">
        <f t="shared" si="181"/>
        <v>0</v>
      </c>
      <c r="BH68" s="389">
        <f t="shared" si="181"/>
        <v>0</v>
      </c>
      <c r="BI68" s="389">
        <f t="shared" si="181"/>
        <v>0</v>
      </c>
    </row>
    <row r="69" spans="2:61">
      <c r="N69" s="85"/>
    </row>
    <row r="70" spans="2:61">
      <c r="N70" s="85"/>
    </row>
    <row r="71" spans="2:61">
      <c r="N71" s="85"/>
    </row>
    <row r="72" spans="2:61">
      <c r="N72" s="85"/>
    </row>
    <row r="73" spans="2:61">
      <c r="N73" s="85"/>
    </row>
    <row r="74" spans="2:61">
      <c r="N74" s="85"/>
    </row>
    <row r="75" spans="2:61">
      <c r="N75" s="85"/>
    </row>
    <row r="76" spans="2:61">
      <c r="N76" s="85"/>
    </row>
    <row r="77" spans="2:61">
      <c r="N77" s="85"/>
    </row>
    <row r="78" spans="2:61">
      <c r="N78" s="85"/>
    </row>
    <row r="79" spans="2:61">
      <c r="N79" s="85"/>
    </row>
    <row r="80" spans="2:61">
      <c r="N80" s="85"/>
    </row>
    <row r="81" spans="14:14">
      <c r="N81" s="85"/>
    </row>
    <row r="82" spans="14:14">
      <c r="N82" s="85"/>
    </row>
  </sheetData>
  <sheetProtection sheet="1" objects="1" scenarios="1"/>
  <mergeCells count="31">
    <mergeCell ref="D30:F30"/>
    <mergeCell ref="B1:H1"/>
    <mergeCell ref="B3:H3"/>
    <mergeCell ref="B5:F5"/>
    <mergeCell ref="D13:F13"/>
    <mergeCell ref="D15:F15"/>
    <mergeCell ref="D16:F16"/>
    <mergeCell ref="D17:F17"/>
    <mergeCell ref="D18:F18"/>
    <mergeCell ref="D22:F22"/>
    <mergeCell ref="D27:F27"/>
    <mergeCell ref="E28:F28"/>
    <mergeCell ref="D45:F45"/>
    <mergeCell ref="D31:F31"/>
    <mergeCell ref="D32:F32"/>
    <mergeCell ref="E33:F33"/>
    <mergeCell ref="D36:F36"/>
    <mergeCell ref="D38:F38"/>
    <mergeCell ref="D39:F39"/>
    <mergeCell ref="D40:F40"/>
    <mergeCell ref="D41:F41"/>
    <mergeCell ref="D42:F42"/>
    <mergeCell ref="D43:F43"/>
    <mergeCell ref="D44:F44"/>
    <mergeCell ref="E61:F61"/>
    <mergeCell ref="D46:F46"/>
    <mergeCell ref="D50:F50"/>
    <mergeCell ref="D55:F55"/>
    <mergeCell ref="E56:F56"/>
    <mergeCell ref="D57:F57"/>
    <mergeCell ref="D58:F58"/>
  </mergeCells>
  <phoneticPr fontId="2" type="noConversion"/>
  <pageMargins left="0.59055118110236227" right="0.59055118110236227" top="0.59055118110236227" bottom="0.59055118110236227" header="0.47244094488188981" footer="0.43307086614173229"/>
  <pageSetup paperSize="9" scale="71" fitToWidth="83" fitToHeight="5" orientation="landscape" r:id="rId1"/>
  <headerFooter>
    <oddFooter>&amp;L&amp;8&amp;K000000© Legrafin                 &amp;D / &amp;T&amp;C&amp;8&amp;K000000Seite  &amp;P&amp;R&amp;8&amp;K000000&amp;F</oddFooter>
  </headerFooter>
  <colBreaks count="2" manualBreakCount="2">
    <brk id="14" max="1048575" man="1"/>
    <brk id="38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  <pageSetUpPr fitToPage="1"/>
  </sheetPr>
  <dimension ref="A1:O131"/>
  <sheetViews>
    <sheetView topLeftCell="A2" zoomScale="140" zoomScaleNormal="140" workbookViewId="0">
      <pane ySplit="12" topLeftCell="A14" activePane="bottomLeft" state="frozenSplit"/>
      <selection activeCell="A2" sqref="A2"/>
      <selection pane="bottomLeft" activeCell="A25" sqref="A25"/>
    </sheetView>
  </sheetViews>
  <sheetFormatPr baseColWidth="10" defaultColWidth="11.42578125" defaultRowHeight="11.25" outlineLevelRow="1"/>
  <cols>
    <col min="1" max="1" width="0.85546875" style="86" customWidth="1"/>
    <col min="2" max="2" width="5.42578125" style="86" customWidth="1"/>
    <col min="3" max="3" width="3.7109375" style="86" customWidth="1"/>
    <col min="4" max="4" width="40" style="101" customWidth="1"/>
    <col min="5" max="11" width="6.28515625" style="86" customWidth="1"/>
    <col min="12" max="14" width="0.85546875" style="86" customWidth="1"/>
    <col min="15" max="15" width="8" style="86" customWidth="1"/>
    <col min="16" max="16384" width="11.42578125" style="86"/>
  </cols>
  <sheetData>
    <row r="1" spans="1:15" s="80" customFormat="1" ht="12">
      <c r="B1" s="758" t="str">
        <f>"Aufgaben- und Finanzplan "&amp;TEXT(Budget2,0)&amp;" - "&amp;TEXT(Finz1+4,0)</f>
        <v>Aufgaben- und Finanzplan 2022 - 2027</v>
      </c>
      <c r="C1" s="758"/>
      <c r="D1" s="758"/>
      <c r="E1" s="758"/>
      <c r="F1" s="758"/>
      <c r="G1" s="758"/>
      <c r="H1" s="758"/>
      <c r="I1" s="79" t="str">
        <f>"Gemeinde "&amp;TEXT(Gemeinde,0)</f>
        <v>Gemeinde Menznau</v>
      </c>
      <c r="L1" s="79"/>
    </row>
    <row r="3" spans="1:15" s="82" customFormat="1">
      <c r="B3" s="84" t="str">
        <f>"Formular 3: Veränderungen mit Auswirkungen auf die Erfolgsrechnung (gegenüber Budget "&amp;TEXT(Budget2,0)&amp;")"</f>
        <v>Formular 3: Veränderungen mit Auswirkungen auf die Erfolgsrechnung (gegenüber Budget 2022)</v>
      </c>
      <c r="C3" s="84"/>
      <c r="D3" s="598"/>
      <c r="I3" s="83" t="s">
        <v>2</v>
      </c>
    </row>
    <row r="4" spans="1:15" ht="6.75" customHeight="1"/>
    <row r="5" spans="1:15">
      <c r="B5" s="86" t="s">
        <v>82</v>
      </c>
    </row>
    <row r="6" spans="1:15">
      <c r="B6" s="86" t="s">
        <v>284</v>
      </c>
    </row>
    <row r="7" spans="1:15">
      <c r="B7" s="1165" t="s">
        <v>300</v>
      </c>
    </row>
    <row r="8" spans="1:15">
      <c r="B8" s="206" t="s">
        <v>301</v>
      </c>
    </row>
    <row r="9" spans="1:15" s="85" customFormat="1">
      <c r="A9" s="86"/>
      <c r="B9" s="86"/>
      <c r="C9" s="86"/>
      <c r="D9" s="601"/>
      <c r="J9" s="102"/>
      <c r="K9" s="86"/>
    </row>
    <row r="10" spans="1:15" s="107" customFormat="1" ht="15.75" customHeight="1">
      <c r="A10" s="86"/>
      <c r="B10" s="1443" t="s">
        <v>153</v>
      </c>
      <c r="C10" s="1443" t="s">
        <v>158</v>
      </c>
      <c r="D10" s="104" t="s">
        <v>283</v>
      </c>
      <c r="E10" s="93" t="s">
        <v>26</v>
      </c>
      <c r="F10" s="105"/>
      <c r="G10" s="105"/>
      <c r="H10" s="105"/>
      <c r="I10" s="106"/>
      <c r="J10" s="102"/>
      <c r="K10" s="86"/>
    </row>
    <row r="11" spans="1:15" s="107" customFormat="1" ht="15.75" customHeight="1">
      <c r="A11" s="86"/>
      <c r="B11" s="1444"/>
      <c r="C11" s="1444" t="s">
        <v>84</v>
      </c>
      <c r="D11" s="599"/>
      <c r="E11" s="109">
        <f>Finz1</f>
        <v>2023</v>
      </c>
      <c r="F11" s="110">
        <f>E11+1</f>
        <v>2024</v>
      </c>
      <c r="G11" s="110">
        <f>F11+1</f>
        <v>2025</v>
      </c>
      <c r="H11" s="110">
        <f>G11+1</f>
        <v>2026</v>
      </c>
      <c r="I11" s="111">
        <f>H11+1</f>
        <v>2027</v>
      </c>
      <c r="J11" s="102"/>
      <c r="K11" s="86"/>
    </row>
    <row r="12" spans="1:15" s="107" customFormat="1" ht="6.75" customHeight="1">
      <c r="A12" s="86"/>
      <c r="B12" s="112"/>
      <c r="C12" s="161"/>
      <c r="D12" s="596"/>
      <c r="E12" s="112"/>
      <c r="F12" s="114"/>
      <c r="G12" s="114"/>
      <c r="H12" s="114"/>
      <c r="I12" s="115"/>
      <c r="J12" s="102"/>
      <c r="K12" s="86"/>
    </row>
    <row r="13" spans="1:15" s="85" customFormat="1" ht="15.75" customHeight="1">
      <c r="A13" s="86"/>
      <c r="B13" s="121"/>
      <c r="C13" s="162"/>
      <c r="D13" s="599" t="s">
        <v>38</v>
      </c>
      <c r="E13" s="1290">
        <f>SUM(E14:E58)/2</f>
        <v>-20</v>
      </c>
      <c r="F13" s="1291">
        <f>SUM(F14:F58)/2</f>
        <v>-46</v>
      </c>
      <c r="G13" s="1291">
        <f>SUM(G14:G58)/2</f>
        <v>-46</v>
      </c>
      <c r="H13" s="1291">
        <f>SUM(H14:H58)/2</f>
        <v>-46</v>
      </c>
      <c r="I13" s="1292">
        <f>SUM(I14:I58)/2</f>
        <v>-46</v>
      </c>
      <c r="J13" s="334" t="str">
        <f>IF(SUM(E14:I85)/2=SUM(E13:I13),"","Fehler: Nicht alle Zahlen richtig addiert")</f>
        <v/>
      </c>
      <c r="K13" s="199"/>
    </row>
    <row r="14" spans="1:15" s="85" customFormat="1" ht="18.95" customHeight="1">
      <c r="A14" s="86"/>
      <c r="B14" s="332"/>
      <c r="C14" s="114"/>
      <c r="D14" s="596" t="str">
        <f>TEXT('F0a Konfiguration'!C11,0)&amp;" "&amp;TEXT('F0a Konfiguration'!E11,0)</f>
        <v>AB1 Politik und Verwaltung</v>
      </c>
      <c r="E14" s="116">
        <f>SUM(E15:E21)</f>
        <v>0</v>
      </c>
      <c r="F14" s="117">
        <f t="shared" ref="F14:I14" si="0">SUM(F15:F21)</f>
        <v>-13</v>
      </c>
      <c r="G14" s="117">
        <f t="shared" si="0"/>
        <v>-13</v>
      </c>
      <c r="H14" s="117">
        <f t="shared" si="0"/>
        <v>-13</v>
      </c>
      <c r="I14" s="118">
        <f t="shared" si="0"/>
        <v>-13</v>
      </c>
      <c r="J14" s="102"/>
      <c r="K14" s="86"/>
    </row>
    <row r="15" spans="1:15" s="600" customFormat="1" outlineLevel="1">
      <c r="A15" s="120"/>
      <c r="B15" s="1016" t="s">
        <v>379</v>
      </c>
      <c r="C15" s="1017">
        <v>36</v>
      </c>
      <c r="D15" s="1018" t="s">
        <v>435</v>
      </c>
      <c r="E15" s="1019"/>
      <c r="F15" s="1020">
        <v>-13</v>
      </c>
      <c r="G15" s="1020">
        <v>-13</v>
      </c>
      <c r="H15" s="1020">
        <v>-13</v>
      </c>
      <c r="I15" s="1021">
        <v>-13</v>
      </c>
      <c r="J15" s="334" t="str">
        <f t="shared" ref="J15:J21" si="1">IF(AND(SUM(E15:I15)&lt;&gt;0,B15=""),"Globalbudget angeben","")</f>
        <v/>
      </c>
      <c r="K15" s="86" t="str">
        <f>IF(AND(SUM(E15:I15)&lt;&gt;0,C15=""),"Konto Nr. angeben","")</f>
        <v/>
      </c>
      <c r="O15" s="1286" t="str">
        <f>IF(OR(C15=35,C15=350,C15=3510,C15=3511,C15=3512,C15=45,C15=450,C15=4510,C15=4511,C15=4512),"Achtung: Pos. 35 und 45 inkl. Unterpositionen nicht hier, sondern in Formular 5 eingeben!)","")</f>
        <v/>
      </c>
    </row>
    <row r="16" spans="1:15" s="600" customFormat="1" outlineLevel="1">
      <c r="A16" s="120"/>
      <c r="B16" s="1016"/>
      <c r="C16" s="1017"/>
      <c r="D16" s="1018"/>
      <c r="E16" s="1022"/>
      <c r="F16" s="1020"/>
      <c r="G16" s="1020"/>
      <c r="H16" s="1020"/>
      <c r="I16" s="1021"/>
      <c r="J16" s="334" t="str">
        <f t="shared" si="1"/>
        <v/>
      </c>
      <c r="K16" s="86" t="str">
        <f t="shared" ref="K16:K21" si="2">IF(AND(SUM(E16:I16)&lt;&gt;0,C16=""),"Konto Nr. angeben","")</f>
        <v/>
      </c>
      <c r="O16" s="1286" t="str">
        <f t="shared" ref="O16:O21" si="3">IF(OR(C16=35,C16=350,C16=3510,C16=3511,C16=3512,C16=45,C16=450,C16=4510,C16=4511,C16=4512),"Achtung: Pos. 35 und 45 inkl. Unterpositionen nicht hier, sondern in Formular 5 eingeben!)","")</f>
        <v/>
      </c>
    </row>
    <row r="17" spans="1:15" s="600" customFormat="1" outlineLevel="1">
      <c r="A17" s="120"/>
      <c r="B17" s="1016"/>
      <c r="C17" s="1017"/>
      <c r="D17" s="1023"/>
      <c r="E17" s="1024"/>
      <c r="F17" s="1025"/>
      <c r="G17" s="1025"/>
      <c r="H17" s="1025"/>
      <c r="I17" s="1026"/>
      <c r="J17" s="334" t="str">
        <f t="shared" si="1"/>
        <v/>
      </c>
      <c r="K17" s="86" t="str">
        <f t="shared" si="2"/>
        <v/>
      </c>
      <c r="O17" s="1286" t="str">
        <f t="shared" si="3"/>
        <v/>
      </c>
    </row>
    <row r="18" spans="1:15" s="85" customFormat="1" outlineLevel="1">
      <c r="A18" s="86"/>
      <c r="B18" s="1016"/>
      <c r="C18" s="1017"/>
      <c r="D18" s="1023"/>
      <c r="E18" s="1024"/>
      <c r="F18" s="1025"/>
      <c r="G18" s="1025"/>
      <c r="H18" s="1025"/>
      <c r="I18" s="1026"/>
      <c r="J18" s="334" t="str">
        <f t="shared" si="1"/>
        <v/>
      </c>
      <c r="K18" s="86" t="str">
        <f t="shared" si="2"/>
        <v/>
      </c>
      <c r="O18" s="1286" t="str">
        <f t="shared" si="3"/>
        <v/>
      </c>
    </row>
    <row r="19" spans="1:15" s="85" customFormat="1" outlineLevel="1">
      <c r="A19" s="86"/>
      <c r="B19" s="1016"/>
      <c r="C19" s="1017"/>
      <c r="D19" s="1023"/>
      <c r="E19" s="1024"/>
      <c r="F19" s="1025"/>
      <c r="G19" s="1025"/>
      <c r="H19" s="1025"/>
      <c r="I19" s="1026"/>
      <c r="J19" s="334" t="str">
        <f t="shared" si="1"/>
        <v/>
      </c>
      <c r="K19" s="86" t="str">
        <f t="shared" si="2"/>
        <v/>
      </c>
      <c r="O19" s="1286" t="str">
        <f t="shared" si="3"/>
        <v/>
      </c>
    </row>
    <row r="20" spans="1:15" s="600" customFormat="1" outlineLevel="1">
      <c r="A20" s="120"/>
      <c r="B20" s="1016"/>
      <c r="C20" s="1017"/>
      <c r="D20" s="1023"/>
      <c r="E20" s="1024"/>
      <c r="F20" s="1025"/>
      <c r="G20" s="1025"/>
      <c r="H20" s="1025"/>
      <c r="I20" s="1026"/>
      <c r="J20" s="334" t="str">
        <f t="shared" si="1"/>
        <v/>
      </c>
      <c r="K20" s="86" t="str">
        <f t="shared" si="2"/>
        <v/>
      </c>
      <c r="O20" s="1286" t="str">
        <f t="shared" si="3"/>
        <v/>
      </c>
    </row>
    <row r="21" spans="1:15" s="600" customFormat="1" outlineLevel="1">
      <c r="A21" s="120"/>
      <c r="B21" s="1016"/>
      <c r="C21" s="1017"/>
      <c r="D21" s="1023"/>
      <c r="E21" s="1024"/>
      <c r="F21" s="1025"/>
      <c r="G21" s="1025"/>
      <c r="H21" s="1025"/>
      <c r="I21" s="1026"/>
      <c r="J21" s="334" t="str">
        <f t="shared" si="1"/>
        <v/>
      </c>
      <c r="K21" s="86" t="str">
        <f t="shared" si="2"/>
        <v/>
      </c>
      <c r="O21" s="1286" t="str">
        <f t="shared" si="3"/>
        <v/>
      </c>
    </row>
    <row r="22" spans="1:15" s="85" customFormat="1" ht="20.100000000000001" customHeight="1">
      <c r="A22" s="86"/>
      <c r="B22" s="112"/>
      <c r="C22" s="114"/>
      <c r="D22" s="596" t="str">
        <f>TEXT('F0a Konfiguration'!C12,0)&amp;" "&amp;TEXT('F0a Konfiguration'!E12,0)</f>
        <v>AB2 Bildung</v>
      </c>
      <c r="E22" s="116">
        <f>SUM(E23:E29)</f>
        <v>-20</v>
      </c>
      <c r="F22" s="117">
        <f>SUM(F23:F29)</f>
        <v>-20</v>
      </c>
      <c r="G22" s="117">
        <f>SUM(G23:G29)</f>
        <v>-20</v>
      </c>
      <c r="H22" s="117">
        <f>SUM(H23:H29)</f>
        <v>-20</v>
      </c>
      <c r="I22" s="118">
        <f>SUM(I23:I29)</f>
        <v>-20</v>
      </c>
      <c r="J22" s="102"/>
      <c r="K22" s="86"/>
    </row>
    <row r="23" spans="1:15" s="85" customFormat="1" outlineLevel="1">
      <c r="A23" s="86"/>
      <c r="B23" s="1016" t="s">
        <v>381</v>
      </c>
      <c r="C23" s="1017">
        <v>31</v>
      </c>
      <c r="D23" s="1018" t="s">
        <v>436</v>
      </c>
      <c r="E23" s="1019">
        <v>-20</v>
      </c>
      <c r="F23" s="1027">
        <v>-20</v>
      </c>
      <c r="G23" s="1027">
        <v>-20</v>
      </c>
      <c r="H23" s="1027">
        <v>-20</v>
      </c>
      <c r="I23" s="1028">
        <v>-20</v>
      </c>
      <c r="J23" s="334" t="str">
        <f t="shared" ref="J23:J29" si="4">IF(AND(SUM(E23:I23)&lt;&gt;0,B23=""),"Globalbudget angeben","")</f>
        <v/>
      </c>
      <c r="K23" s="86" t="str">
        <f t="shared" ref="K23:K29" si="5">IF(AND(SUM(E23:I23)&lt;&gt;0,C23=""),"Konto Nr. angeben","")</f>
        <v/>
      </c>
      <c r="O23" s="1286" t="str">
        <f>IF(OR(C23=35,C23=350,C23=3510,C23=3511,C23=3512,C23=45,C23=450,C23=4510,C23=4511,C23=4512),"Achtung: Pos. 35 und 45 inkl. Unterpositionen nicht hier, sondern in Formular 5 eingeben!)","")</f>
        <v/>
      </c>
    </row>
    <row r="24" spans="1:15" s="95" customFormat="1" outlineLevel="1">
      <c r="A24" s="94"/>
      <c r="B24" s="1016"/>
      <c r="C24" s="1017"/>
      <c r="D24" s="1023"/>
      <c r="E24" s="1024"/>
      <c r="F24" s="1025"/>
      <c r="G24" s="1025"/>
      <c r="H24" s="1025"/>
      <c r="I24" s="1026"/>
      <c r="J24" s="334" t="str">
        <f t="shared" si="4"/>
        <v/>
      </c>
      <c r="K24" s="86" t="str">
        <f t="shared" si="5"/>
        <v/>
      </c>
      <c r="O24" s="1286" t="str">
        <f t="shared" ref="O24:O29" si="6">IF(OR(C24=35,C24=350,C24=3510,C24=3511,C24=3512,C24=45,C24=450,C24=4510,C24=4511,C24=4512),"Achtung: Pos. 35 und 45 inkl. Unterpositionen nicht hier, sondern in Formular 5 eingeben!)","")</f>
        <v/>
      </c>
    </row>
    <row r="25" spans="1:15" s="85" customFormat="1" outlineLevel="1">
      <c r="A25" s="86"/>
      <c r="B25" s="1016"/>
      <c r="C25" s="1017"/>
      <c r="D25" s="1023"/>
      <c r="E25" s="1024"/>
      <c r="F25" s="1025"/>
      <c r="G25" s="1025"/>
      <c r="H25" s="1025"/>
      <c r="I25" s="1026"/>
      <c r="J25" s="334" t="str">
        <f t="shared" si="4"/>
        <v/>
      </c>
      <c r="K25" s="86" t="str">
        <f t="shared" si="5"/>
        <v/>
      </c>
      <c r="O25" s="1286" t="str">
        <f t="shared" si="6"/>
        <v/>
      </c>
    </row>
    <row r="26" spans="1:15" s="95" customFormat="1" outlineLevel="1">
      <c r="A26" s="94"/>
      <c r="B26" s="1016"/>
      <c r="C26" s="1017"/>
      <c r="D26" s="1023"/>
      <c r="E26" s="1024"/>
      <c r="F26" s="1025"/>
      <c r="G26" s="1025"/>
      <c r="H26" s="1025"/>
      <c r="I26" s="1026"/>
      <c r="J26" s="334" t="str">
        <f t="shared" si="4"/>
        <v/>
      </c>
      <c r="K26" s="86" t="str">
        <f t="shared" si="5"/>
        <v/>
      </c>
      <c r="O26" s="1286" t="str">
        <f t="shared" si="6"/>
        <v/>
      </c>
    </row>
    <row r="27" spans="1:15" s="95" customFormat="1" outlineLevel="1">
      <c r="A27" s="94"/>
      <c r="B27" s="1016"/>
      <c r="C27" s="1017"/>
      <c r="D27" s="1023"/>
      <c r="E27" s="1024"/>
      <c r="F27" s="1025"/>
      <c r="G27" s="1025"/>
      <c r="H27" s="1025"/>
      <c r="I27" s="1026"/>
      <c r="J27" s="334" t="str">
        <f t="shared" si="4"/>
        <v/>
      </c>
      <c r="K27" s="86" t="str">
        <f t="shared" si="5"/>
        <v/>
      </c>
      <c r="O27" s="1286" t="str">
        <f t="shared" si="6"/>
        <v/>
      </c>
    </row>
    <row r="28" spans="1:15" s="95" customFormat="1" outlineLevel="1">
      <c r="A28" s="94"/>
      <c r="B28" s="1016"/>
      <c r="C28" s="1017"/>
      <c r="D28" s="1023"/>
      <c r="E28" s="1024"/>
      <c r="F28" s="1025"/>
      <c r="G28" s="1025"/>
      <c r="H28" s="1025"/>
      <c r="I28" s="1026"/>
      <c r="J28" s="334" t="str">
        <f t="shared" si="4"/>
        <v/>
      </c>
      <c r="K28" s="86" t="str">
        <f t="shared" si="5"/>
        <v/>
      </c>
      <c r="O28" s="1286" t="str">
        <f t="shared" si="6"/>
        <v/>
      </c>
    </row>
    <row r="29" spans="1:15" s="95" customFormat="1" outlineLevel="1">
      <c r="A29" s="94"/>
      <c r="B29" s="1016"/>
      <c r="C29" s="1017"/>
      <c r="D29" s="1023"/>
      <c r="E29" s="1024"/>
      <c r="F29" s="1025"/>
      <c r="G29" s="1025"/>
      <c r="H29" s="1025"/>
      <c r="I29" s="1026"/>
      <c r="J29" s="334" t="str">
        <f t="shared" si="4"/>
        <v/>
      </c>
      <c r="K29" s="86" t="str">
        <f t="shared" si="5"/>
        <v/>
      </c>
      <c r="O29" s="1286" t="str">
        <f t="shared" si="6"/>
        <v/>
      </c>
    </row>
    <row r="30" spans="1:15" s="85" customFormat="1" ht="20.100000000000001" customHeight="1">
      <c r="A30" s="86"/>
      <c r="B30" s="112"/>
      <c r="C30" s="114"/>
      <c r="D30" s="596" t="str">
        <f>TEXT('F0a Konfiguration'!C13,0)&amp;" "&amp;TEXT('F0a Konfiguration'!E13,0)</f>
        <v>AB3 Freizeit, Jugend und Kultur</v>
      </c>
      <c r="E30" s="116">
        <f>SUM(E31:E37)</f>
        <v>0</v>
      </c>
      <c r="F30" s="117">
        <f t="shared" ref="F30:I30" si="7">SUM(F31:F37)</f>
        <v>0</v>
      </c>
      <c r="G30" s="117">
        <f t="shared" si="7"/>
        <v>0</v>
      </c>
      <c r="H30" s="117">
        <f t="shared" si="7"/>
        <v>0</v>
      </c>
      <c r="I30" s="118">
        <f t="shared" si="7"/>
        <v>0</v>
      </c>
      <c r="J30" s="102"/>
      <c r="K30" s="86"/>
    </row>
    <row r="31" spans="1:15" s="85" customFormat="1" outlineLevel="1">
      <c r="A31" s="86"/>
      <c r="B31" s="1016"/>
      <c r="C31" s="1017"/>
      <c r="D31" s="1018"/>
      <c r="E31" s="1019"/>
      <c r="F31" s="1027"/>
      <c r="G31" s="1027"/>
      <c r="H31" s="1027"/>
      <c r="I31" s="1028"/>
      <c r="J31" s="334" t="str">
        <f t="shared" ref="J31:J37" si="8">IF(AND(SUM(E31:I31)&lt;&gt;0,B31=""),"Globalbudget angeben","")</f>
        <v/>
      </c>
      <c r="K31" s="86" t="str">
        <f t="shared" ref="K31:K37" si="9">IF(AND(SUM(E31:I31)&lt;&gt;0,C31=""),"Konto Nr. angeben","")</f>
        <v/>
      </c>
      <c r="O31" s="1286" t="str">
        <f>IF(OR(C31=35,C31=350,C31=3510,C31=3511,C31=3512,C31=45,C31=450,C31=4510,C31=4511,C31=4512),"Achtung: Pos. 35 und 45 inkl. Unterpositionen nicht hier, sondern in Formular 5 eingeben!)","")</f>
        <v/>
      </c>
    </row>
    <row r="32" spans="1:15" s="95" customFormat="1" outlineLevel="1">
      <c r="A32" s="94"/>
      <c r="B32" s="1016"/>
      <c r="C32" s="1017"/>
      <c r="D32" s="1023"/>
      <c r="E32" s="1024"/>
      <c r="F32" s="1025"/>
      <c r="G32" s="1025"/>
      <c r="H32" s="1025"/>
      <c r="I32" s="1026"/>
      <c r="J32" s="334" t="str">
        <f t="shared" si="8"/>
        <v/>
      </c>
      <c r="K32" s="86" t="str">
        <f>IF(AND(SUM(E32:I32)&lt;&gt;0,C32=""),"Konto Nr. angeben","")</f>
        <v/>
      </c>
      <c r="O32" s="1286" t="str">
        <f t="shared" ref="O32:O58" si="10">IF(OR(C32=35,C32=350,C32=3510,C32=3511,C32=3512,C32=45,C32=450,C32=4510,C32=4511,C32=4512),"Achtung: Pos. 35 und 45 inkl. Unterpositionen nicht hier, sondern in Formular 5 eingeben!)","")</f>
        <v/>
      </c>
    </row>
    <row r="33" spans="1:15" s="85" customFormat="1" outlineLevel="1">
      <c r="A33" s="86"/>
      <c r="B33" s="1016"/>
      <c r="C33" s="1017"/>
      <c r="D33" s="1023"/>
      <c r="E33" s="1024"/>
      <c r="F33" s="1025"/>
      <c r="G33" s="1025"/>
      <c r="H33" s="1025"/>
      <c r="I33" s="1026"/>
      <c r="J33" s="334" t="str">
        <f t="shared" si="8"/>
        <v/>
      </c>
      <c r="K33" s="86" t="str">
        <f t="shared" si="9"/>
        <v/>
      </c>
      <c r="O33" s="1286" t="str">
        <f t="shared" si="10"/>
        <v/>
      </c>
    </row>
    <row r="34" spans="1:15" s="95" customFormat="1" outlineLevel="1">
      <c r="A34" s="94"/>
      <c r="B34" s="1016"/>
      <c r="C34" s="1017"/>
      <c r="D34" s="1023"/>
      <c r="E34" s="1024"/>
      <c r="F34" s="1025"/>
      <c r="G34" s="1025"/>
      <c r="H34" s="1025"/>
      <c r="I34" s="1026"/>
      <c r="J34" s="334" t="str">
        <f t="shared" si="8"/>
        <v/>
      </c>
      <c r="K34" s="86" t="str">
        <f t="shared" si="9"/>
        <v/>
      </c>
      <c r="O34" s="1286" t="str">
        <f t="shared" si="10"/>
        <v/>
      </c>
    </row>
    <row r="35" spans="1:15" s="95" customFormat="1" outlineLevel="1">
      <c r="A35" s="94"/>
      <c r="B35" s="1016"/>
      <c r="C35" s="1017"/>
      <c r="D35" s="1023"/>
      <c r="E35" s="1024"/>
      <c r="F35" s="1025"/>
      <c r="G35" s="1025"/>
      <c r="H35" s="1025"/>
      <c r="I35" s="1026"/>
      <c r="J35" s="334" t="str">
        <f t="shared" si="8"/>
        <v/>
      </c>
      <c r="K35" s="86" t="str">
        <f t="shared" si="9"/>
        <v/>
      </c>
      <c r="O35" s="1286" t="str">
        <f t="shared" si="10"/>
        <v/>
      </c>
    </row>
    <row r="36" spans="1:15" s="95" customFormat="1" outlineLevel="1">
      <c r="A36" s="94"/>
      <c r="B36" s="1016"/>
      <c r="C36" s="1017"/>
      <c r="D36" s="1023"/>
      <c r="E36" s="1024"/>
      <c r="F36" s="1025"/>
      <c r="G36" s="1025"/>
      <c r="H36" s="1025"/>
      <c r="I36" s="1026"/>
      <c r="J36" s="334" t="str">
        <f t="shared" si="8"/>
        <v/>
      </c>
      <c r="K36" s="86" t="str">
        <f t="shared" si="9"/>
        <v/>
      </c>
      <c r="O36" s="1286" t="str">
        <f t="shared" si="10"/>
        <v/>
      </c>
    </row>
    <row r="37" spans="1:15" s="95" customFormat="1" outlineLevel="1">
      <c r="A37" s="94"/>
      <c r="B37" s="1016"/>
      <c r="C37" s="1017"/>
      <c r="D37" s="1023"/>
      <c r="E37" s="1024"/>
      <c r="F37" s="1025"/>
      <c r="G37" s="1025"/>
      <c r="H37" s="1025"/>
      <c r="I37" s="1026"/>
      <c r="J37" s="334" t="str">
        <f t="shared" si="8"/>
        <v/>
      </c>
      <c r="K37" s="86" t="str">
        <f t="shared" si="9"/>
        <v/>
      </c>
      <c r="O37" s="1286" t="str">
        <f t="shared" si="10"/>
        <v/>
      </c>
    </row>
    <row r="38" spans="1:15" s="85" customFormat="1" ht="20.100000000000001" customHeight="1">
      <c r="A38" s="86"/>
      <c r="B38" s="112"/>
      <c r="C38" s="114"/>
      <c r="D38" s="596" t="str">
        <f>TEXT('F0a Konfiguration'!C14,0)&amp;" "&amp;TEXT('F0a Konfiguration'!E14,0)</f>
        <v>AB4 Soziales, Gesundheit und Alter</v>
      </c>
      <c r="E38" s="116">
        <f>SUM(E39:E44)</f>
        <v>0</v>
      </c>
      <c r="F38" s="117">
        <f t="shared" ref="F38:I38" si="11">SUM(F39:F44)</f>
        <v>-13</v>
      </c>
      <c r="G38" s="117">
        <f t="shared" si="11"/>
        <v>-13</v>
      </c>
      <c r="H38" s="117">
        <f t="shared" si="11"/>
        <v>-13</v>
      </c>
      <c r="I38" s="118">
        <f t="shared" si="11"/>
        <v>-13</v>
      </c>
      <c r="J38" s="102"/>
      <c r="K38" s="86"/>
    </row>
    <row r="39" spans="1:15" s="85" customFormat="1" outlineLevel="1">
      <c r="A39" s="86"/>
      <c r="B39" s="1016" t="s">
        <v>383</v>
      </c>
      <c r="C39" s="1017">
        <v>36</v>
      </c>
      <c r="D39" s="1018" t="s">
        <v>435</v>
      </c>
      <c r="E39" s="1019"/>
      <c r="F39" s="1020">
        <v>-13</v>
      </c>
      <c r="G39" s="1020">
        <v>-13</v>
      </c>
      <c r="H39" s="1020">
        <v>-13</v>
      </c>
      <c r="I39" s="1021">
        <v>-13</v>
      </c>
      <c r="J39" s="334" t="str">
        <f t="shared" ref="J39:J44" si="12">IF(AND(SUM(E39:I39)&lt;&gt;0,B39=""),"Globalbudget angeben","")</f>
        <v/>
      </c>
      <c r="K39" s="86" t="str">
        <f t="shared" ref="K39:K44" si="13">IF(AND(SUM(E39:I39)&lt;&gt;0,C39=""),"Konto Nr. angeben","")</f>
        <v/>
      </c>
      <c r="O39" s="1286" t="str">
        <f t="shared" si="10"/>
        <v/>
      </c>
    </row>
    <row r="40" spans="1:15" s="95" customFormat="1" outlineLevel="1">
      <c r="A40" s="94"/>
      <c r="B40" s="1016"/>
      <c r="C40" s="1017"/>
      <c r="D40" s="1023"/>
      <c r="E40" s="1024"/>
      <c r="F40" s="1025"/>
      <c r="G40" s="1025"/>
      <c r="H40" s="1025"/>
      <c r="I40" s="1026"/>
      <c r="J40" s="334" t="str">
        <f t="shared" si="12"/>
        <v/>
      </c>
      <c r="K40" s="86" t="str">
        <f t="shared" si="13"/>
        <v/>
      </c>
      <c r="O40" s="1286" t="str">
        <f t="shared" si="10"/>
        <v/>
      </c>
    </row>
    <row r="41" spans="1:15" s="85" customFormat="1" outlineLevel="1">
      <c r="A41" s="86"/>
      <c r="B41" s="1016"/>
      <c r="C41" s="1017"/>
      <c r="D41" s="1023"/>
      <c r="E41" s="1024"/>
      <c r="F41" s="1025"/>
      <c r="G41" s="1025"/>
      <c r="H41" s="1025"/>
      <c r="I41" s="1026"/>
      <c r="J41" s="334" t="str">
        <f t="shared" si="12"/>
        <v/>
      </c>
      <c r="K41" s="86" t="str">
        <f t="shared" si="13"/>
        <v/>
      </c>
      <c r="O41" s="1286" t="str">
        <f t="shared" si="10"/>
        <v/>
      </c>
    </row>
    <row r="42" spans="1:15" s="95" customFormat="1" outlineLevel="1">
      <c r="A42" s="94"/>
      <c r="B42" s="1016"/>
      <c r="C42" s="1017"/>
      <c r="D42" s="1023"/>
      <c r="E42" s="1024"/>
      <c r="F42" s="1025"/>
      <c r="G42" s="1025"/>
      <c r="H42" s="1025"/>
      <c r="I42" s="1026"/>
      <c r="J42" s="334" t="str">
        <f t="shared" si="12"/>
        <v/>
      </c>
      <c r="K42" s="86" t="str">
        <f t="shared" si="13"/>
        <v/>
      </c>
      <c r="O42" s="1286" t="str">
        <f t="shared" si="10"/>
        <v/>
      </c>
    </row>
    <row r="43" spans="1:15" s="95" customFormat="1" outlineLevel="1">
      <c r="A43" s="94"/>
      <c r="B43" s="1016"/>
      <c r="C43" s="1017"/>
      <c r="D43" s="1023"/>
      <c r="E43" s="1024"/>
      <c r="F43" s="1025"/>
      <c r="G43" s="1025"/>
      <c r="H43" s="1025"/>
      <c r="I43" s="1026"/>
      <c r="J43" s="334" t="str">
        <f t="shared" si="12"/>
        <v/>
      </c>
      <c r="K43" s="86" t="str">
        <f t="shared" si="13"/>
        <v/>
      </c>
      <c r="O43" s="1286" t="str">
        <f t="shared" si="10"/>
        <v/>
      </c>
    </row>
    <row r="44" spans="1:15" s="95" customFormat="1" outlineLevel="1">
      <c r="A44" s="94"/>
      <c r="B44" s="1016"/>
      <c r="C44" s="1017"/>
      <c r="D44" s="1023"/>
      <c r="E44" s="1024"/>
      <c r="F44" s="1025"/>
      <c r="G44" s="1025"/>
      <c r="H44" s="1025"/>
      <c r="I44" s="1026"/>
      <c r="J44" s="334" t="str">
        <f t="shared" si="12"/>
        <v/>
      </c>
      <c r="K44" s="86" t="str">
        <f t="shared" si="13"/>
        <v/>
      </c>
      <c r="O44" s="1286" t="str">
        <f t="shared" si="10"/>
        <v/>
      </c>
    </row>
    <row r="45" spans="1:15" s="85" customFormat="1" ht="20.100000000000001" customHeight="1">
      <c r="A45" s="86"/>
      <c r="B45" s="112"/>
      <c r="C45" s="114"/>
      <c r="D45" s="596" t="str">
        <f>TEXT('F0a Konfiguration'!C15,0)&amp;" "&amp;TEXT('F0a Konfiguration'!E15,0)</f>
        <v>AB5 Infrastruktur, Sicherheit, Raumordnung und Umwelt</v>
      </c>
      <c r="E45" s="116">
        <f>SUM(E46:E51)</f>
        <v>0</v>
      </c>
      <c r="F45" s="117">
        <f>SUM(F46:F51)</f>
        <v>0</v>
      </c>
      <c r="G45" s="117">
        <f>SUM(G46:G51)</f>
        <v>0</v>
      </c>
      <c r="H45" s="117">
        <f>SUM(H46:H51)</f>
        <v>0</v>
      </c>
      <c r="I45" s="118">
        <f>SUM(I46:I51)</f>
        <v>0</v>
      </c>
      <c r="J45" s="102"/>
      <c r="K45" s="86"/>
    </row>
    <row r="46" spans="1:15" s="76" customFormat="1" outlineLevel="1">
      <c r="A46" s="123"/>
      <c r="B46" s="1016"/>
      <c r="C46" s="1017"/>
      <c r="D46" s="1018"/>
      <c r="E46" s="1019"/>
      <c r="F46" s="1027"/>
      <c r="G46" s="1027"/>
      <c r="H46" s="1027"/>
      <c r="I46" s="1028"/>
      <c r="J46" s="334" t="str">
        <f t="shared" ref="J46:J51" si="14">IF(AND(SUM(E46:I46)&lt;&gt;0,B46=""),"Globalbudget angeben","")</f>
        <v/>
      </c>
      <c r="K46" s="86" t="str">
        <f>IF(AND(SUM(E46:I46)&lt;&gt;0,C46=""),"Konto Nr. angeben","")</f>
        <v/>
      </c>
      <c r="O46" s="1286" t="str">
        <f t="shared" si="10"/>
        <v/>
      </c>
    </row>
    <row r="47" spans="1:15" s="77" customFormat="1" outlineLevel="1">
      <c r="A47" s="124"/>
      <c r="B47" s="1016"/>
      <c r="C47" s="1017"/>
      <c r="D47" s="1023"/>
      <c r="E47" s="1024"/>
      <c r="F47" s="1025"/>
      <c r="G47" s="1025"/>
      <c r="H47" s="1025"/>
      <c r="I47" s="1026"/>
      <c r="J47" s="334" t="str">
        <f t="shared" si="14"/>
        <v/>
      </c>
      <c r="K47" s="86" t="str">
        <f t="shared" ref="K47:K51" si="15">IF(AND(SUM(E47:I47)&lt;&gt;0,C47=""),"Konto Nr. angeben","")</f>
        <v/>
      </c>
      <c r="O47" s="1286" t="str">
        <f t="shared" si="10"/>
        <v/>
      </c>
    </row>
    <row r="48" spans="1:15" s="77" customFormat="1" outlineLevel="1">
      <c r="A48" s="124"/>
      <c r="B48" s="1016"/>
      <c r="C48" s="1017"/>
      <c r="D48" s="1023"/>
      <c r="E48" s="1024"/>
      <c r="F48" s="1025"/>
      <c r="G48" s="1025"/>
      <c r="H48" s="1025"/>
      <c r="I48" s="1026"/>
      <c r="J48" s="334" t="str">
        <f t="shared" si="14"/>
        <v/>
      </c>
      <c r="K48" s="86" t="str">
        <f t="shared" si="15"/>
        <v/>
      </c>
      <c r="O48" s="1286" t="str">
        <f t="shared" si="10"/>
        <v/>
      </c>
    </row>
    <row r="49" spans="1:15" s="77" customFormat="1" outlineLevel="1">
      <c r="A49" s="124"/>
      <c r="B49" s="1016"/>
      <c r="C49" s="1017"/>
      <c r="D49" s="1023"/>
      <c r="E49" s="1024"/>
      <c r="F49" s="1025"/>
      <c r="G49" s="1025"/>
      <c r="H49" s="1025"/>
      <c r="I49" s="1026"/>
      <c r="J49" s="334" t="str">
        <f t="shared" si="14"/>
        <v/>
      </c>
      <c r="K49" s="86" t="str">
        <f t="shared" si="15"/>
        <v/>
      </c>
      <c r="O49" s="1286" t="str">
        <f t="shared" si="10"/>
        <v/>
      </c>
    </row>
    <row r="50" spans="1:15" s="77" customFormat="1" outlineLevel="1">
      <c r="A50" s="124"/>
      <c r="B50" s="1016"/>
      <c r="C50" s="1017"/>
      <c r="D50" s="1023"/>
      <c r="E50" s="1024"/>
      <c r="F50" s="1025"/>
      <c r="G50" s="1025"/>
      <c r="H50" s="1025"/>
      <c r="I50" s="1026"/>
      <c r="J50" s="334" t="str">
        <f t="shared" si="14"/>
        <v/>
      </c>
      <c r="K50" s="86" t="str">
        <f t="shared" si="15"/>
        <v/>
      </c>
      <c r="O50" s="1286" t="str">
        <f t="shared" si="10"/>
        <v/>
      </c>
    </row>
    <row r="51" spans="1:15" s="77" customFormat="1" outlineLevel="1">
      <c r="A51" s="124"/>
      <c r="B51" s="1016"/>
      <c r="C51" s="1017"/>
      <c r="D51" s="1023"/>
      <c r="E51" s="1024"/>
      <c r="F51" s="1025"/>
      <c r="G51" s="1025"/>
      <c r="H51" s="1025"/>
      <c r="I51" s="1026"/>
      <c r="J51" s="334" t="str">
        <f t="shared" si="14"/>
        <v/>
      </c>
      <c r="K51" s="86" t="str">
        <f t="shared" si="15"/>
        <v/>
      </c>
      <c r="O51" s="1286" t="str">
        <f t="shared" si="10"/>
        <v/>
      </c>
    </row>
    <row r="52" spans="1:15" s="85" customFormat="1" ht="20.100000000000001" customHeight="1">
      <c r="A52" s="86"/>
      <c r="B52" s="112"/>
      <c r="C52" s="114"/>
      <c r="D52" s="596" t="str">
        <f>TEXT('F0a Konfiguration'!C16,0)&amp;" "&amp;TEXT('F0a Konfiguration'!E16,0)</f>
        <v>AB6 Finanzen, Steuern und Abgaben</v>
      </c>
      <c r="E52" s="116">
        <f>SUM(E53:E58)</f>
        <v>0</v>
      </c>
      <c r="F52" s="117">
        <f>SUM(F53:F58)</f>
        <v>0</v>
      </c>
      <c r="G52" s="117">
        <f>SUM(G53:G58)</f>
        <v>0</v>
      </c>
      <c r="H52" s="117">
        <f>SUM(H53:H58)</f>
        <v>0</v>
      </c>
      <c r="I52" s="118">
        <f>SUM(I53:I58)</f>
        <v>0</v>
      </c>
      <c r="J52" s="102"/>
      <c r="K52" s="86"/>
    </row>
    <row r="53" spans="1:15" s="85" customFormat="1" outlineLevel="1">
      <c r="A53" s="86"/>
      <c r="B53" s="1016"/>
      <c r="C53" s="1017"/>
      <c r="D53" s="1018"/>
      <c r="E53" s="1019"/>
      <c r="F53" s="1027"/>
      <c r="G53" s="1027"/>
      <c r="H53" s="1027"/>
      <c r="I53" s="1028"/>
      <c r="J53" s="334" t="str">
        <f t="shared" ref="J53:J58" si="16">IF(AND(SUM(E53:I53)&lt;&gt;0,B53=""),"Globalbudget angeben","")</f>
        <v/>
      </c>
      <c r="K53" s="86" t="str">
        <f t="shared" ref="K53:K58" si="17">IF(AND(SUM(E53:I53)&lt;&gt;0,C53=""),"Konto Nr. angeben","")</f>
        <v/>
      </c>
      <c r="O53" s="1286" t="str">
        <f t="shared" si="10"/>
        <v/>
      </c>
    </row>
    <row r="54" spans="1:15" s="95" customFormat="1" outlineLevel="1">
      <c r="A54" s="94"/>
      <c r="B54" s="1016"/>
      <c r="C54" s="1017"/>
      <c r="D54" s="1023"/>
      <c r="E54" s="1024"/>
      <c r="F54" s="1025"/>
      <c r="G54" s="1025"/>
      <c r="H54" s="1025"/>
      <c r="I54" s="1026"/>
      <c r="J54" s="334" t="str">
        <f t="shared" si="16"/>
        <v/>
      </c>
      <c r="K54" s="86" t="str">
        <f t="shared" si="17"/>
        <v/>
      </c>
      <c r="O54" s="1286" t="str">
        <f t="shared" si="10"/>
        <v/>
      </c>
    </row>
    <row r="55" spans="1:15" s="85" customFormat="1" outlineLevel="1">
      <c r="A55" s="86"/>
      <c r="B55" s="1016"/>
      <c r="C55" s="1017"/>
      <c r="D55" s="1023"/>
      <c r="E55" s="1024"/>
      <c r="F55" s="1025"/>
      <c r="G55" s="1025"/>
      <c r="H55" s="1025"/>
      <c r="I55" s="1026"/>
      <c r="J55" s="334" t="str">
        <f t="shared" si="16"/>
        <v/>
      </c>
      <c r="K55" s="86" t="str">
        <f t="shared" si="17"/>
        <v/>
      </c>
      <c r="O55" s="1286" t="str">
        <f t="shared" si="10"/>
        <v/>
      </c>
    </row>
    <row r="56" spans="1:15" s="85" customFormat="1" outlineLevel="1">
      <c r="A56" s="86"/>
      <c r="B56" s="1016"/>
      <c r="C56" s="1017"/>
      <c r="D56" s="1023"/>
      <c r="E56" s="1024"/>
      <c r="F56" s="1025"/>
      <c r="G56" s="1025"/>
      <c r="H56" s="1025"/>
      <c r="I56" s="1026"/>
      <c r="J56" s="334" t="str">
        <f t="shared" si="16"/>
        <v/>
      </c>
      <c r="K56" s="86" t="str">
        <f t="shared" si="17"/>
        <v/>
      </c>
      <c r="O56" s="1286" t="str">
        <f t="shared" si="10"/>
        <v/>
      </c>
    </row>
    <row r="57" spans="1:15" s="95" customFormat="1" outlineLevel="1">
      <c r="A57" s="94"/>
      <c r="B57" s="1016"/>
      <c r="C57" s="1017"/>
      <c r="D57" s="1023"/>
      <c r="E57" s="1024"/>
      <c r="F57" s="1025"/>
      <c r="G57" s="1025"/>
      <c r="H57" s="1025"/>
      <c r="I57" s="1026"/>
      <c r="J57" s="334" t="str">
        <f t="shared" si="16"/>
        <v/>
      </c>
      <c r="K57" s="86" t="str">
        <f t="shared" si="17"/>
        <v/>
      </c>
      <c r="O57" s="1286" t="str">
        <f t="shared" si="10"/>
        <v/>
      </c>
    </row>
    <row r="58" spans="1:15" s="95" customFormat="1" outlineLevel="1">
      <c r="A58" s="94"/>
      <c r="B58" s="1016"/>
      <c r="C58" s="1017"/>
      <c r="D58" s="1023"/>
      <c r="E58" s="1024"/>
      <c r="F58" s="1025"/>
      <c r="G58" s="1025"/>
      <c r="H58" s="1025"/>
      <c r="I58" s="1026"/>
      <c r="J58" s="334" t="str">
        <f t="shared" si="16"/>
        <v/>
      </c>
      <c r="K58" s="86" t="str">
        <f t="shared" si="17"/>
        <v/>
      </c>
      <c r="O58" s="1286" t="str">
        <f t="shared" si="10"/>
        <v/>
      </c>
    </row>
    <row r="59" spans="1:15">
      <c r="J59" s="102"/>
    </row>
    <row r="60" spans="1:15">
      <c r="J60" s="102"/>
    </row>
    <row r="61" spans="1:15">
      <c r="J61" s="102"/>
    </row>
    <row r="62" spans="1:15">
      <c r="J62" s="102"/>
    </row>
    <row r="63" spans="1:15">
      <c r="J63" s="102"/>
    </row>
    <row r="64" spans="1:15">
      <c r="J64" s="102"/>
    </row>
    <row r="65" spans="10:10">
      <c r="J65" s="102"/>
    </row>
    <row r="66" spans="10:10">
      <c r="J66" s="102"/>
    </row>
    <row r="67" spans="10:10">
      <c r="J67" s="102"/>
    </row>
    <row r="68" spans="10:10">
      <c r="J68" s="102"/>
    </row>
    <row r="69" spans="10:10">
      <c r="J69" s="102"/>
    </row>
    <row r="70" spans="10:10">
      <c r="J70" s="102"/>
    </row>
    <row r="71" spans="10:10">
      <c r="J71" s="102"/>
    </row>
    <row r="72" spans="10:10">
      <c r="J72" s="102"/>
    </row>
    <row r="73" spans="10:10">
      <c r="J73" s="102"/>
    </row>
    <row r="74" spans="10:10">
      <c r="J74" s="102"/>
    </row>
    <row r="75" spans="10:10">
      <c r="J75" s="102"/>
    </row>
    <row r="76" spans="10:10">
      <c r="J76" s="102"/>
    </row>
    <row r="77" spans="10:10">
      <c r="J77" s="102"/>
    </row>
    <row r="78" spans="10:10">
      <c r="J78" s="102"/>
    </row>
    <row r="79" spans="10:10">
      <c r="J79" s="102"/>
    </row>
    <row r="80" spans="10:10">
      <c r="J80" s="102"/>
    </row>
    <row r="81" spans="10:10">
      <c r="J81" s="102"/>
    </row>
    <row r="82" spans="10:10">
      <c r="J82" s="102"/>
    </row>
    <row r="83" spans="10:10">
      <c r="J83" s="102"/>
    </row>
    <row r="84" spans="10:10">
      <c r="J84" s="102"/>
    </row>
    <row r="85" spans="10:10">
      <c r="J85" s="102"/>
    </row>
    <row r="86" spans="10:10">
      <c r="J86" s="102"/>
    </row>
    <row r="87" spans="10:10">
      <c r="J87" s="102"/>
    </row>
    <row r="88" spans="10:10">
      <c r="J88" s="102"/>
    </row>
    <row r="89" spans="10:10">
      <c r="J89" s="102"/>
    </row>
    <row r="90" spans="10:10">
      <c r="J90" s="102"/>
    </row>
    <row r="91" spans="10:10">
      <c r="J91" s="102"/>
    </row>
    <row r="92" spans="10:10">
      <c r="J92" s="102"/>
    </row>
    <row r="93" spans="10:10">
      <c r="J93" s="102"/>
    </row>
    <row r="94" spans="10:10">
      <c r="J94" s="102"/>
    </row>
    <row r="95" spans="10:10">
      <c r="J95" s="102"/>
    </row>
    <row r="96" spans="10:10">
      <c r="J96" s="102"/>
    </row>
    <row r="97" spans="10:10">
      <c r="J97" s="102"/>
    </row>
    <row r="98" spans="10:10">
      <c r="J98" s="102"/>
    </row>
    <row r="99" spans="10:10">
      <c r="J99" s="102"/>
    </row>
    <row r="100" spans="10:10">
      <c r="J100" s="102"/>
    </row>
    <row r="101" spans="10:10">
      <c r="J101" s="102"/>
    </row>
    <row r="102" spans="10:10">
      <c r="J102" s="102"/>
    </row>
    <row r="103" spans="10:10">
      <c r="J103" s="102"/>
    </row>
    <row r="104" spans="10:10">
      <c r="J104" s="102"/>
    </row>
    <row r="105" spans="10:10">
      <c r="J105" s="102"/>
    </row>
    <row r="106" spans="10:10">
      <c r="J106" s="102"/>
    </row>
    <row r="107" spans="10:10">
      <c r="J107" s="102"/>
    </row>
    <row r="108" spans="10:10">
      <c r="J108" s="102"/>
    </row>
    <row r="109" spans="10:10">
      <c r="J109" s="102"/>
    </row>
    <row r="110" spans="10:10">
      <c r="J110" s="102"/>
    </row>
    <row r="111" spans="10:10">
      <c r="J111" s="102"/>
    </row>
    <row r="112" spans="10:10">
      <c r="J112" s="102"/>
    </row>
    <row r="113" spans="10:10">
      <c r="J113" s="102"/>
    </row>
    <row r="114" spans="10:10">
      <c r="J114" s="102"/>
    </row>
    <row r="115" spans="10:10">
      <c r="J115" s="102"/>
    </row>
    <row r="116" spans="10:10">
      <c r="J116" s="102"/>
    </row>
    <row r="117" spans="10:10">
      <c r="J117" s="102"/>
    </row>
    <row r="118" spans="10:10">
      <c r="J118" s="102"/>
    </row>
    <row r="119" spans="10:10">
      <c r="J119" s="102"/>
    </row>
    <row r="120" spans="10:10">
      <c r="J120" s="102"/>
    </row>
    <row r="121" spans="10:10">
      <c r="J121" s="102"/>
    </row>
    <row r="122" spans="10:10">
      <c r="J122" s="102"/>
    </row>
    <row r="123" spans="10:10">
      <c r="J123" s="102"/>
    </row>
    <row r="124" spans="10:10">
      <c r="J124" s="102"/>
    </row>
    <row r="125" spans="10:10">
      <c r="J125" s="102"/>
    </row>
    <row r="126" spans="10:10">
      <c r="J126" s="102"/>
    </row>
    <row r="127" spans="10:10">
      <c r="J127" s="102"/>
    </row>
    <row r="128" spans="10:10">
      <c r="J128" s="102"/>
    </row>
    <row r="129" spans="10:10">
      <c r="J129" s="102"/>
    </row>
    <row r="130" spans="10:10">
      <c r="J130" s="102"/>
    </row>
    <row r="131" spans="10:10">
      <c r="J131" s="102"/>
    </row>
  </sheetData>
  <dataConsolidate/>
  <mergeCells count="2">
    <mergeCell ref="B10:B11"/>
    <mergeCell ref="C10:C11"/>
  </mergeCells>
  <phoneticPr fontId="2" type="noConversion"/>
  <pageMargins left="0.74803149606299202" right="0.74803149606299202" top="0.98425196850393704" bottom="0.98425196850393704" header="0.511811023622047" footer="0.511811023622047"/>
  <pageSetup paperSize="9" fitToHeight="10" orientation="portrait" r:id="rId1"/>
  <headerFooter>
    <oddFooter>&amp;L&amp;8&amp;K000000© Legrafin                 &amp;D / &amp;T&amp;C&amp;8&amp;K000000Seite  &amp;P&amp;R&amp;8&amp;K000000&amp;F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FF945A3-618E-6F40-A9F4-5B0CE274F5F4}">
          <x14:formula1>
            <xm:f>'Listen für Dropdown'!$A$3:$A$47</xm:f>
          </x14:formula1>
          <xm:sqref>C23:C29 C31:C37 C39:C44 C46:C51 C53:C58 C15:C21</xm:sqref>
        </x14:dataValidation>
        <x14:dataValidation type="list" allowBlank="1" showInputMessage="1" showErrorMessage="1" xr:uid="{9BAAB12E-CB71-E944-8CF7-42E206606DB8}">
          <x14:formula1>
            <xm:f>'F0a Konfiguration'!$C$11:$C$20</xm:f>
          </x14:formula1>
          <xm:sqref>B31:B37 B46:B51 B39:B44 B53:B58 B15:B21 B23:B29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  <pageSetUpPr fitToPage="1"/>
  </sheetPr>
  <dimension ref="A1:O314"/>
  <sheetViews>
    <sheetView zoomScale="120" zoomScaleNormal="120" workbookViewId="0">
      <pane ySplit="15" topLeftCell="A16" activePane="bottomLeft" state="frozenSplit"/>
      <selection pane="bottomLeft" activeCell="B16" sqref="B16:I18"/>
    </sheetView>
  </sheetViews>
  <sheetFormatPr baseColWidth="10" defaultColWidth="11.42578125" defaultRowHeight="11.25" outlineLevelRow="1"/>
  <cols>
    <col min="1" max="1" width="0.85546875" style="86" customWidth="1"/>
    <col min="2" max="3" width="8" style="86" customWidth="1"/>
    <col min="4" max="4" width="37.7109375" style="101" customWidth="1"/>
    <col min="5" max="11" width="6.28515625" style="86" customWidth="1"/>
    <col min="12" max="14" width="0.85546875" style="86" customWidth="1"/>
    <col min="15" max="16384" width="11.42578125" style="86"/>
  </cols>
  <sheetData>
    <row r="1" spans="1:15" s="80" customFormat="1" ht="12">
      <c r="B1" s="758" t="str">
        <f>"Aufgaben- und Finanzplan "&amp;TEXT(Budget2,0)&amp;" - "&amp;TEXT(Finz1+4,0)</f>
        <v>Aufgaben- und Finanzplan 2022 - 2027</v>
      </c>
      <c r="C1" s="304"/>
      <c r="D1" s="78"/>
      <c r="I1" s="79" t="str">
        <f>"Gemeinde "&amp;TEXT(Gemeinde,0)</f>
        <v>Gemeinde Menznau</v>
      </c>
      <c r="L1" s="79"/>
    </row>
    <row r="3" spans="1:15" s="82" customFormat="1">
      <c r="B3" s="84" t="str">
        <f>"Formular 3a: Veränderungen von Verrechnungen und Umlagen (gegenüber Budget "&amp;TEXT(Budget2,0)&amp;")"</f>
        <v>Formular 3a: Veränderungen von Verrechnungen und Umlagen (gegenüber Budget 2022)</v>
      </c>
      <c r="C3" s="84"/>
      <c r="D3" s="81"/>
      <c r="I3" s="83" t="s">
        <v>2</v>
      </c>
    </row>
    <row r="4" spans="1:15" ht="6.75" customHeight="1">
      <c r="O4" s="86" t="s">
        <v>57</v>
      </c>
    </row>
    <row r="5" spans="1:15">
      <c r="B5" s="86" t="s">
        <v>303</v>
      </c>
    </row>
    <row r="6" spans="1:15">
      <c r="B6" s="86" t="s">
        <v>304</v>
      </c>
    </row>
    <row r="7" spans="1:15">
      <c r="B7" s="206" t="s">
        <v>302</v>
      </c>
      <c r="C7" s="206"/>
    </row>
    <row r="8" spans="1:15">
      <c r="B8" s="206" t="s">
        <v>305</v>
      </c>
      <c r="C8" s="206"/>
    </row>
    <row r="9" spans="1:15" s="85" customFormat="1">
      <c r="A9" s="86"/>
      <c r="B9" s="86"/>
      <c r="C9" s="86"/>
      <c r="D9" s="103"/>
      <c r="J9" s="102"/>
      <c r="K9" s="86"/>
    </row>
    <row r="10" spans="1:15" s="107" customFormat="1" ht="15.75" customHeight="1">
      <c r="A10" s="86"/>
      <c r="B10" s="631" t="s">
        <v>223</v>
      </c>
      <c r="C10" s="632" t="s">
        <v>224</v>
      </c>
      <c r="D10" s="104"/>
      <c r="E10" s="634"/>
      <c r="F10" s="105"/>
      <c r="G10" s="105"/>
      <c r="H10" s="105"/>
      <c r="I10" s="106"/>
      <c r="J10" s="102"/>
      <c r="K10" s="86"/>
    </row>
    <row r="11" spans="1:15" s="107" customFormat="1" ht="15.75" customHeight="1">
      <c r="A11" s="86"/>
      <c r="B11" s="1445" t="s">
        <v>153</v>
      </c>
      <c r="C11" s="1447" t="s">
        <v>153</v>
      </c>
      <c r="D11" s="597" t="s">
        <v>225</v>
      </c>
      <c r="E11" s="599" t="s">
        <v>26</v>
      </c>
      <c r="I11" s="633"/>
      <c r="J11" s="102"/>
      <c r="K11" s="86"/>
    </row>
    <row r="12" spans="1:15" s="107" customFormat="1" ht="15.75" customHeight="1">
      <c r="A12" s="86"/>
      <c r="B12" s="1446"/>
      <c r="C12" s="1448"/>
      <c r="D12" s="108"/>
      <c r="E12" s="109">
        <f>Finz1</f>
        <v>2023</v>
      </c>
      <c r="F12" s="110">
        <f>E12+1</f>
        <v>2024</v>
      </c>
      <c r="G12" s="110">
        <f>F12+1</f>
        <v>2025</v>
      </c>
      <c r="H12" s="110">
        <f>G12+1</f>
        <v>2026</v>
      </c>
      <c r="I12" s="111">
        <f>H12+1</f>
        <v>2027</v>
      </c>
      <c r="J12" s="102"/>
      <c r="K12" s="86"/>
    </row>
    <row r="13" spans="1:15" s="107" customFormat="1" ht="6.75" customHeight="1">
      <c r="A13" s="86"/>
      <c r="B13" s="112"/>
      <c r="C13" s="1029"/>
      <c r="D13" s="113"/>
      <c r="E13" s="112"/>
      <c r="F13" s="114"/>
      <c r="G13" s="114"/>
      <c r="H13" s="114"/>
      <c r="I13" s="115"/>
      <c r="J13" s="102"/>
      <c r="K13" s="86"/>
    </row>
    <row r="14" spans="1:15" s="85" customFormat="1" ht="15.75" customHeight="1">
      <c r="A14" s="86"/>
      <c r="B14" s="121"/>
      <c r="C14" s="839"/>
      <c r="D14" s="291" t="s">
        <v>38</v>
      </c>
      <c r="E14" s="292">
        <f>SUM(E16:E54)</f>
        <v>0</v>
      </c>
      <c r="F14" s="870">
        <f t="shared" ref="F14:I14" si="0">SUM(F16:F54)</f>
        <v>0</v>
      </c>
      <c r="G14" s="870">
        <f t="shared" si="0"/>
        <v>0</v>
      </c>
      <c r="H14" s="870">
        <f t="shared" si="0"/>
        <v>0</v>
      </c>
      <c r="I14" s="351">
        <f t="shared" si="0"/>
        <v>0</v>
      </c>
      <c r="J14" s="102"/>
      <c r="K14" s="199"/>
    </row>
    <row r="15" spans="1:15" s="85" customFormat="1" ht="18.95" customHeight="1">
      <c r="A15" s="86"/>
      <c r="B15" s="332"/>
      <c r="C15" s="1030"/>
      <c r="D15" s="113"/>
      <c r="E15" s="116"/>
      <c r="F15" s="117"/>
      <c r="G15" s="117"/>
      <c r="H15" s="117"/>
      <c r="I15" s="118"/>
      <c r="J15" s="102"/>
      <c r="K15" s="86"/>
    </row>
    <row r="16" spans="1:15" s="90" customFormat="1">
      <c r="A16" s="120"/>
      <c r="B16" s="1016"/>
      <c r="C16" s="1031"/>
      <c r="D16" s="1018"/>
      <c r="E16" s="1019"/>
      <c r="F16" s="1020"/>
      <c r="G16" s="1020"/>
      <c r="H16" s="1020"/>
      <c r="I16" s="1021"/>
      <c r="J16" s="102"/>
      <c r="K16" s="86"/>
    </row>
    <row r="17" spans="1:11" s="290" customFormat="1">
      <c r="A17" s="120"/>
      <c r="B17" s="1016"/>
      <c r="C17" s="1031"/>
      <c r="D17" s="1018"/>
      <c r="E17" s="1022"/>
      <c r="F17" s="1020"/>
      <c r="G17" s="1020"/>
      <c r="H17" s="1020"/>
      <c r="I17" s="1021"/>
      <c r="J17" s="102"/>
      <c r="K17" s="86"/>
    </row>
    <row r="18" spans="1:11" s="600" customFormat="1">
      <c r="A18" s="120"/>
      <c r="B18" s="1016"/>
      <c r="C18" s="1031"/>
      <c r="D18" s="1023"/>
      <c r="E18" s="1024"/>
      <c r="F18" s="1025"/>
      <c r="G18" s="1025"/>
      <c r="H18" s="1025"/>
      <c r="I18" s="1026"/>
      <c r="J18" s="102"/>
      <c r="K18" s="86"/>
    </row>
    <row r="19" spans="1:11" s="85" customFormat="1">
      <c r="A19" s="86"/>
      <c r="B19" s="1016"/>
      <c r="C19" s="1031"/>
      <c r="D19" s="1023"/>
      <c r="E19" s="1024"/>
      <c r="F19" s="1025"/>
      <c r="G19" s="1025"/>
      <c r="H19" s="1025"/>
      <c r="I19" s="1026"/>
      <c r="J19" s="102"/>
      <c r="K19" s="86"/>
    </row>
    <row r="20" spans="1:11" s="85" customFormat="1">
      <c r="A20" s="86"/>
      <c r="B20" s="1016"/>
      <c r="C20" s="1031"/>
      <c r="D20" s="1023"/>
      <c r="E20" s="1024"/>
      <c r="F20" s="1025"/>
      <c r="G20" s="1025"/>
      <c r="H20" s="1025"/>
      <c r="I20" s="1026"/>
      <c r="J20" s="102"/>
      <c r="K20" s="86"/>
    </row>
    <row r="21" spans="1:11" s="600" customFormat="1">
      <c r="A21" s="120"/>
      <c r="B21" s="1016"/>
      <c r="C21" s="1031"/>
      <c r="D21" s="1023"/>
      <c r="E21" s="1024"/>
      <c r="F21" s="1025"/>
      <c r="G21" s="1025"/>
      <c r="H21" s="1025"/>
      <c r="I21" s="1026"/>
      <c r="J21" s="102"/>
      <c r="K21" s="86"/>
    </row>
    <row r="22" spans="1:11" s="600" customFormat="1">
      <c r="A22" s="120"/>
      <c r="B22" s="1016"/>
      <c r="C22" s="1031"/>
      <c r="D22" s="1023"/>
      <c r="E22" s="1024"/>
      <c r="F22" s="1025"/>
      <c r="G22" s="1025"/>
      <c r="H22" s="1025"/>
      <c r="I22" s="1026"/>
      <c r="J22" s="102"/>
      <c r="K22" s="86"/>
    </row>
    <row r="23" spans="1:11" s="85" customFormat="1">
      <c r="A23" s="86"/>
      <c r="B23" s="1016"/>
      <c r="C23" s="1031"/>
      <c r="D23" s="1023"/>
      <c r="E23" s="1024"/>
      <c r="F23" s="1025"/>
      <c r="G23" s="1025"/>
      <c r="H23" s="1025"/>
      <c r="I23" s="1026"/>
      <c r="J23" s="102"/>
      <c r="K23" s="86"/>
    </row>
    <row r="24" spans="1:11" s="85" customFormat="1">
      <c r="A24" s="86"/>
      <c r="B24" s="1016"/>
      <c r="C24" s="1031"/>
      <c r="D24" s="1023"/>
      <c r="E24" s="1024"/>
      <c r="F24" s="1025"/>
      <c r="G24" s="1025"/>
      <c r="H24" s="1025"/>
      <c r="I24" s="1026"/>
      <c r="J24" s="102"/>
      <c r="K24" s="86"/>
    </row>
    <row r="25" spans="1:11" s="600" customFormat="1">
      <c r="A25" s="120"/>
      <c r="B25" s="1016"/>
      <c r="C25" s="1031"/>
      <c r="D25" s="1023"/>
      <c r="E25" s="1024"/>
      <c r="F25" s="1025"/>
      <c r="G25" s="1025"/>
      <c r="H25" s="1025"/>
      <c r="I25" s="1026"/>
      <c r="J25" s="102"/>
      <c r="K25" s="86"/>
    </row>
    <row r="26" spans="1:11" s="600" customFormat="1">
      <c r="A26" s="120"/>
      <c r="B26" s="1016"/>
      <c r="C26" s="1031"/>
      <c r="D26" s="1023"/>
      <c r="E26" s="1024"/>
      <c r="F26" s="1025"/>
      <c r="G26" s="1025"/>
      <c r="H26" s="1025"/>
      <c r="I26" s="1026"/>
      <c r="J26" s="102"/>
      <c r="K26" s="86"/>
    </row>
    <row r="27" spans="1:11" s="85" customFormat="1">
      <c r="A27" s="86"/>
      <c r="B27" s="1016"/>
      <c r="C27" s="1031"/>
      <c r="D27" s="1023"/>
      <c r="E27" s="1024"/>
      <c r="F27" s="1025"/>
      <c r="G27" s="1025"/>
      <c r="H27" s="1025"/>
      <c r="I27" s="1026"/>
      <c r="J27" s="102"/>
      <c r="K27" s="86"/>
    </row>
    <row r="28" spans="1:11" s="85" customFormat="1">
      <c r="A28" s="86"/>
      <c r="B28" s="1016"/>
      <c r="C28" s="1031"/>
      <c r="D28" s="1023"/>
      <c r="E28" s="1024"/>
      <c r="F28" s="1025"/>
      <c r="G28" s="1025"/>
      <c r="H28" s="1025"/>
      <c r="I28" s="1026"/>
      <c r="J28" s="102"/>
      <c r="K28" s="86"/>
    </row>
    <row r="29" spans="1:11" s="600" customFormat="1">
      <c r="A29" s="120"/>
      <c r="B29" s="1016"/>
      <c r="C29" s="1031"/>
      <c r="D29" s="1023"/>
      <c r="E29" s="1024"/>
      <c r="F29" s="1025"/>
      <c r="G29" s="1025"/>
      <c r="H29" s="1025"/>
      <c r="I29" s="1026"/>
      <c r="J29" s="102"/>
      <c r="K29" s="86"/>
    </row>
    <row r="30" spans="1:11" s="600" customFormat="1">
      <c r="A30" s="120"/>
      <c r="B30" s="1016"/>
      <c r="C30" s="1031"/>
      <c r="D30" s="1023"/>
      <c r="E30" s="1024"/>
      <c r="F30" s="1025"/>
      <c r="G30" s="1025"/>
      <c r="H30" s="1025"/>
      <c r="I30" s="1026"/>
      <c r="J30" s="102"/>
      <c r="K30" s="86"/>
    </row>
    <row r="31" spans="1:11" s="85" customFormat="1">
      <c r="A31" s="86"/>
      <c r="B31" s="1016"/>
      <c r="C31" s="1031"/>
      <c r="D31" s="1023"/>
      <c r="E31" s="1024"/>
      <c r="F31" s="1025"/>
      <c r="G31" s="1025"/>
      <c r="H31" s="1025"/>
      <c r="I31" s="1026"/>
      <c r="J31" s="102"/>
      <c r="K31" s="86"/>
    </row>
    <row r="32" spans="1:11" s="85" customFormat="1">
      <c r="A32" s="86"/>
      <c r="B32" s="1016"/>
      <c r="C32" s="1031"/>
      <c r="D32" s="1023"/>
      <c r="E32" s="1024"/>
      <c r="F32" s="1025"/>
      <c r="G32" s="1025"/>
      <c r="H32" s="1025"/>
      <c r="I32" s="1026"/>
      <c r="J32" s="102"/>
      <c r="K32" s="86"/>
    </row>
    <row r="33" spans="1:11" s="600" customFormat="1">
      <c r="A33" s="120"/>
      <c r="B33" s="1016"/>
      <c r="C33" s="1031"/>
      <c r="D33" s="1023"/>
      <c r="E33" s="1024"/>
      <c r="F33" s="1025"/>
      <c r="G33" s="1025"/>
      <c r="H33" s="1025"/>
      <c r="I33" s="1026"/>
      <c r="J33" s="102"/>
      <c r="K33" s="86"/>
    </row>
    <row r="34" spans="1:11" s="600" customFormat="1">
      <c r="A34" s="120"/>
      <c r="B34" s="1016"/>
      <c r="C34" s="1031"/>
      <c r="D34" s="1023"/>
      <c r="E34" s="1024"/>
      <c r="F34" s="1025"/>
      <c r="G34" s="1025"/>
      <c r="H34" s="1025"/>
      <c r="I34" s="1026"/>
      <c r="J34" s="102"/>
      <c r="K34" s="86"/>
    </row>
    <row r="35" spans="1:11" s="85" customFormat="1">
      <c r="A35" s="86"/>
      <c r="B35" s="1016"/>
      <c r="C35" s="1031"/>
      <c r="D35" s="1023"/>
      <c r="E35" s="1024"/>
      <c r="F35" s="1025"/>
      <c r="G35" s="1025"/>
      <c r="H35" s="1025"/>
      <c r="I35" s="1026"/>
      <c r="J35" s="102"/>
      <c r="K35" s="86"/>
    </row>
    <row r="36" spans="1:11" s="85" customFormat="1">
      <c r="A36" s="86"/>
      <c r="B36" s="1016"/>
      <c r="C36" s="1031"/>
      <c r="D36" s="1023"/>
      <c r="E36" s="1024"/>
      <c r="F36" s="1025"/>
      <c r="G36" s="1025"/>
      <c r="H36" s="1025"/>
      <c r="I36" s="1026"/>
      <c r="J36" s="102"/>
      <c r="K36" s="86"/>
    </row>
    <row r="37" spans="1:11" s="600" customFormat="1">
      <c r="A37" s="120"/>
      <c r="B37" s="1016"/>
      <c r="C37" s="1031"/>
      <c r="D37" s="1023"/>
      <c r="E37" s="1024"/>
      <c r="F37" s="1025"/>
      <c r="G37" s="1025"/>
      <c r="H37" s="1025"/>
      <c r="I37" s="1026"/>
      <c r="J37" s="102"/>
      <c r="K37" s="86"/>
    </row>
    <row r="38" spans="1:11" s="600" customFormat="1">
      <c r="A38" s="120"/>
      <c r="B38" s="1016"/>
      <c r="C38" s="1031"/>
      <c r="D38" s="1023"/>
      <c r="E38" s="1024"/>
      <c r="F38" s="1025"/>
      <c r="G38" s="1025"/>
      <c r="H38" s="1025"/>
      <c r="I38" s="1026"/>
      <c r="J38" s="102"/>
      <c r="K38" s="86"/>
    </row>
    <row r="39" spans="1:11" s="85" customFormat="1">
      <c r="A39" s="86"/>
      <c r="B39" s="1016"/>
      <c r="C39" s="1031"/>
      <c r="D39" s="1023"/>
      <c r="E39" s="1024"/>
      <c r="F39" s="1025"/>
      <c r="G39" s="1025"/>
      <c r="H39" s="1025"/>
      <c r="I39" s="1026"/>
      <c r="J39" s="102"/>
      <c r="K39" s="86"/>
    </row>
    <row r="40" spans="1:11" s="85" customFormat="1">
      <c r="A40" s="86"/>
      <c r="B40" s="1016"/>
      <c r="C40" s="1031"/>
      <c r="D40" s="1023"/>
      <c r="E40" s="1024"/>
      <c r="F40" s="1025"/>
      <c r="G40" s="1025"/>
      <c r="H40" s="1025"/>
      <c r="I40" s="1026"/>
      <c r="J40" s="102"/>
      <c r="K40" s="86"/>
    </row>
    <row r="41" spans="1:11" s="600" customFormat="1">
      <c r="A41" s="120"/>
      <c r="B41" s="1016"/>
      <c r="C41" s="1031"/>
      <c r="D41" s="1023"/>
      <c r="E41" s="1024"/>
      <c r="F41" s="1025"/>
      <c r="G41" s="1025"/>
      <c r="H41" s="1025"/>
      <c r="I41" s="1026"/>
      <c r="J41" s="102"/>
      <c r="K41" s="86"/>
    </row>
    <row r="42" spans="1:11" s="600" customFormat="1">
      <c r="A42" s="120"/>
      <c r="B42" s="1016"/>
      <c r="C42" s="1031"/>
      <c r="D42" s="1023"/>
      <c r="E42" s="1024"/>
      <c r="F42" s="1025"/>
      <c r="G42" s="1025"/>
      <c r="H42" s="1025"/>
      <c r="I42" s="1026"/>
      <c r="J42" s="102"/>
      <c r="K42" s="86"/>
    </row>
    <row r="43" spans="1:11" s="85" customFormat="1">
      <c r="A43" s="86"/>
      <c r="B43" s="1016"/>
      <c r="C43" s="1031"/>
      <c r="D43" s="1023"/>
      <c r="E43" s="1024"/>
      <c r="F43" s="1025"/>
      <c r="G43" s="1025"/>
      <c r="H43" s="1025"/>
      <c r="I43" s="1026"/>
      <c r="J43" s="102"/>
      <c r="K43" s="86"/>
    </row>
    <row r="44" spans="1:11" s="85" customFormat="1">
      <c r="A44" s="86"/>
      <c r="B44" s="1016"/>
      <c r="C44" s="1031"/>
      <c r="D44" s="1023"/>
      <c r="E44" s="1024"/>
      <c r="F44" s="1025"/>
      <c r="G44" s="1025"/>
      <c r="H44" s="1025"/>
      <c r="I44" s="1026"/>
      <c r="J44" s="102"/>
      <c r="K44" s="86"/>
    </row>
    <row r="45" spans="1:11" s="600" customFormat="1">
      <c r="A45" s="120"/>
      <c r="B45" s="1016"/>
      <c r="C45" s="1031"/>
      <c r="D45" s="1023"/>
      <c r="E45" s="1024"/>
      <c r="F45" s="1025"/>
      <c r="G45" s="1025"/>
      <c r="H45" s="1025"/>
      <c r="I45" s="1026"/>
      <c r="J45" s="102"/>
      <c r="K45" s="86"/>
    </row>
    <row r="46" spans="1:11" s="600" customFormat="1">
      <c r="A46" s="120"/>
      <c r="B46" s="1016"/>
      <c r="C46" s="1031"/>
      <c r="D46" s="1023"/>
      <c r="E46" s="1024"/>
      <c r="F46" s="1025"/>
      <c r="G46" s="1025"/>
      <c r="H46" s="1025"/>
      <c r="I46" s="1026"/>
      <c r="J46" s="102"/>
      <c r="K46" s="86"/>
    </row>
    <row r="47" spans="1:11" s="85" customFormat="1">
      <c r="A47" s="86"/>
      <c r="B47" s="1016"/>
      <c r="C47" s="1031"/>
      <c r="D47" s="1023"/>
      <c r="E47" s="1024"/>
      <c r="F47" s="1025"/>
      <c r="G47" s="1025"/>
      <c r="H47" s="1025"/>
      <c r="I47" s="1026"/>
      <c r="J47" s="102"/>
      <c r="K47" s="86"/>
    </row>
    <row r="48" spans="1:11" s="85" customFormat="1">
      <c r="A48" s="86"/>
      <c r="B48" s="1016"/>
      <c r="C48" s="1031"/>
      <c r="D48" s="1023"/>
      <c r="E48" s="1024"/>
      <c r="F48" s="1025"/>
      <c r="G48" s="1025"/>
      <c r="H48" s="1025"/>
      <c r="I48" s="1026"/>
      <c r="J48" s="102"/>
      <c r="K48" s="86"/>
    </row>
    <row r="49" spans="1:11" s="600" customFormat="1">
      <c r="A49" s="120"/>
      <c r="B49" s="1016"/>
      <c r="C49" s="1031"/>
      <c r="D49" s="1023"/>
      <c r="E49" s="1024"/>
      <c r="F49" s="1025"/>
      <c r="G49" s="1025"/>
      <c r="H49" s="1025"/>
      <c r="I49" s="1026"/>
      <c r="J49" s="102"/>
      <c r="K49" s="86"/>
    </row>
    <row r="50" spans="1:11" s="90" customFormat="1">
      <c r="A50" s="120"/>
      <c r="B50" s="1016"/>
      <c r="C50" s="1031"/>
      <c r="D50" s="1023"/>
      <c r="E50" s="1024"/>
      <c r="F50" s="1025"/>
      <c r="G50" s="1025"/>
      <c r="H50" s="1025"/>
      <c r="I50" s="1026"/>
      <c r="J50" s="102"/>
      <c r="K50" s="86"/>
    </row>
    <row r="51" spans="1:11" s="85" customFormat="1">
      <c r="A51" s="86"/>
      <c r="B51" s="1016"/>
      <c r="C51" s="1031"/>
      <c r="D51" s="1023"/>
      <c r="E51" s="1024"/>
      <c r="F51" s="1025"/>
      <c r="G51" s="1025"/>
      <c r="H51" s="1025"/>
      <c r="I51" s="1026"/>
      <c r="J51" s="102"/>
      <c r="K51" s="86"/>
    </row>
    <row r="52" spans="1:11" s="85" customFormat="1">
      <c r="A52" s="86"/>
      <c r="B52" s="1016"/>
      <c r="C52" s="1031"/>
      <c r="D52" s="1023"/>
      <c r="E52" s="1024"/>
      <c r="F52" s="1025"/>
      <c r="G52" s="1025"/>
      <c r="H52" s="1025"/>
      <c r="I52" s="1026"/>
      <c r="J52" s="102"/>
      <c r="K52" s="86"/>
    </row>
    <row r="53" spans="1:11" s="588" customFormat="1">
      <c r="A53" s="120"/>
      <c r="B53" s="1016"/>
      <c r="C53" s="1031"/>
      <c r="D53" s="1023"/>
      <c r="E53" s="1024"/>
      <c r="F53" s="1025"/>
      <c r="G53" s="1025"/>
      <c r="H53" s="1025"/>
      <c r="I53" s="1026"/>
      <c r="J53" s="102"/>
      <c r="K53" s="86"/>
    </row>
    <row r="54" spans="1:11" s="90" customFormat="1">
      <c r="A54" s="120"/>
      <c r="B54" s="1016"/>
      <c r="C54" s="1031"/>
      <c r="D54" s="1023"/>
      <c r="E54" s="1024"/>
      <c r="F54" s="1025"/>
      <c r="G54" s="1025"/>
      <c r="H54" s="1025"/>
      <c r="I54" s="1026"/>
      <c r="J54" s="102"/>
      <c r="K54" s="86"/>
    </row>
    <row r="55" spans="1:11" s="85" customFormat="1" ht="6.75" customHeight="1" outlineLevel="1">
      <c r="A55" s="86"/>
      <c r="B55" s="121"/>
      <c r="C55" s="839"/>
      <c r="D55" s="99"/>
      <c r="E55" s="122"/>
      <c r="F55" s="91"/>
      <c r="G55" s="91"/>
      <c r="H55" s="91"/>
      <c r="I55" s="92"/>
      <c r="J55" s="102"/>
      <c r="K55" s="86"/>
    </row>
    <row r="56" spans="1:11" ht="6.75" customHeight="1">
      <c r="J56" s="102"/>
    </row>
    <row r="57" spans="1:11">
      <c r="J57" s="102"/>
    </row>
    <row r="58" spans="1:11">
      <c r="J58" s="102"/>
    </row>
    <row r="59" spans="1:11">
      <c r="D59" s="86"/>
      <c r="J59" s="102"/>
    </row>
    <row r="60" spans="1:11">
      <c r="J60" s="102"/>
    </row>
    <row r="61" spans="1:11">
      <c r="J61" s="102"/>
    </row>
    <row r="62" spans="1:11">
      <c r="J62" s="102"/>
    </row>
    <row r="63" spans="1:11">
      <c r="J63" s="102"/>
    </row>
    <row r="64" spans="1:11">
      <c r="J64" s="102"/>
    </row>
    <row r="65" spans="10:10">
      <c r="J65" s="102"/>
    </row>
    <row r="66" spans="10:10">
      <c r="J66" s="102"/>
    </row>
    <row r="67" spans="10:10">
      <c r="J67" s="102"/>
    </row>
    <row r="68" spans="10:10">
      <c r="J68" s="102"/>
    </row>
    <row r="69" spans="10:10">
      <c r="J69" s="102"/>
    </row>
    <row r="70" spans="10:10">
      <c r="J70" s="102"/>
    </row>
    <row r="71" spans="10:10">
      <c r="J71" s="102"/>
    </row>
    <row r="72" spans="10:10">
      <c r="J72" s="102"/>
    </row>
    <row r="73" spans="10:10">
      <c r="J73" s="102"/>
    </row>
    <row r="74" spans="10:10">
      <c r="J74" s="102"/>
    </row>
    <row r="75" spans="10:10">
      <c r="J75" s="102"/>
    </row>
    <row r="76" spans="10:10">
      <c r="J76" s="102"/>
    </row>
    <row r="77" spans="10:10">
      <c r="J77" s="102"/>
    </row>
    <row r="78" spans="10:10">
      <c r="J78" s="102"/>
    </row>
    <row r="79" spans="10:10">
      <c r="J79" s="102"/>
    </row>
    <row r="80" spans="10:10">
      <c r="J80" s="102"/>
    </row>
    <row r="81" spans="10:10">
      <c r="J81" s="102"/>
    </row>
    <row r="82" spans="10:10">
      <c r="J82" s="102"/>
    </row>
    <row r="83" spans="10:10">
      <c r="J83" s="102"/>
    </row>
    <row r="84" spans="10:10">
      <c r="J84" s="102"/>
    </row>
    <row r="85" spans="10:10">
      <c r="J85" s="102"/>
    </row>
    <row r="86" spans="10:10">
      <c r="J86" s="102"/>
    </row>
    <row r="87" spans="10:10">
      <c r="J87" s="102"/>
    </row>
    <row r="88" spans="10:10">
      <c r="J88" s="102"/>
    </row>
    <row r="89" spans="10:10">
      <c r="J89" s="102"/>
    </row>
    <row r="90" spans="10:10">
      <c r="J90" s="102"/>
    </row>
    <row r="91" spans="10:10">
      <c r="J91" s="102"/>
    </row>
    <row r="92" spans="10:10">
      <c r="J92" s="102"/>
    </row>
    <row r="93" spans="10:10">
      <c r="J93" s="102"/>
    </row>
    <row r="94" spans="10:10">
      <c r="J94" s="102"/>
    </row>
    <row r="95" spans="10:10">
      <c r="J95" s="102"/>
    </row>
    <row r="96" spans="10:10">
      <c r="J96" s="102"/>
    </row>
    <row r="97" spans="10:10">
      <c r="J97" s="102"/>
    </row>
    <row r="98" spans="10:10">
      <c r="J98" s="102"/>
    </row>
    <row r="99" spans="10:10">
      <c r="J99" s="102"/>
    </row>
    <row r="100" spans="10:10">
      <c r="J100" s="102"/>
    </row>
    <row r="101" spans="10:10">
      <c r="J101" s="102"/>
    </row>
    <row r="102" spans="10:10">
      <c r="J102" s="102"/>
    </row>
    <row r="103" spans="10:10">
      <c r="J103" s="102"/>
    </row>
    <row r="104" spans="10:10">
      <c r="J104" s="102"/>
    </row>
    <row r="105" spans="10:10">
      <c r="J105" s="102"/>
    </row>
    <row r="106" spans="10:10">
      <c r="J106" s="102"/>
    </row>
    <row r="107" spans="10:10">
      <c r="J107" s="102"/>
    </row>
    <row r="108" spans="10:10">
      <c r="J108" s="102"/>
    </row>
    <row r="109" spans="10:10">
      <c r="J109" s="102"/>
    </row>
    <row r="110" spans="10:10">
      <c r="J110" s="102"/>
    </row>
    <row r="111" spans="10:10">
      <c r="J111" s="102"/>
    </row>
    <row r="112" spans="10:10">
      <c r="J112" s="102"/>
    </row>
    <row r="113" spans="10:10">
      <c r="J113" s="102"/>
    </row>
    <row r="114" spans="10:10">
      <c r="J114" s="102"/>
    </row>
    <row r="115" spans="10:10">
      <c r="J115" s="102"/>
    </row>
    <row r="116" spans="10:10">
      <c r="J116" s="102"/>
    </row>
    <row r="117" spans="10:10">
      <c r="J117" s="102"/>
    </row>
    <row r="118" spans="10:10">
      <c r="J118" s="102"/>
    </row>
    <row r="119" spans="10:10">
      <c r="J119" s="102"/>
    </row>
    <row r="120" spans="10:10">
      <c r="J120" s="102"/>
    </row>
    <row r="121" spans="10:10">
      <c r="J121" s="102"/>
    </row>
    <row r="122" spans="10:10">
      <c r="J122" s="102"/>
    </row>
    <row r="123" spans="10:10">
      <c r="J123" s="102"/>
    </row>
    <row r="124" spans="10:10">
      <c r="J124" s="102"/>
    </row>
    <row r="125" spans="10:10">
      <c r="J125" s="102"/>
    </row>
    <row r="126" spans="10:10">
      <c r="J126" s="102"/>
    </row>
    <row r="127" spans="10:10">
      <c r="J127" s="102"/>
    </row>
    <row r="128" spans="10:10">
      <c r="J128" s="102"/>
    </row>
    <row r="129" spans="10:10">
      <c r="J129" s="102"/>
    </row>
    <row r="130" spans="10:10">
      <c r="J130" s="102"/>
    </row>
    <row r="131" spans="10:10">
      <c r="J131" s="102"/>
    </row>
    <row r="132" spans="10:10">
      <c r="J132" s="102"/>
    </row>
    <row r="133" spans="10:10">
      <c r="J133" s="102"/>
    </row>
    <row r="134" spans="10:10">
      <c r="J134" s="102"/>
    </row>
    <row r="135" spans="10:10">
      <c r="J135" s="102"/>
    </row>
    <row r="136" spans="10:10">
      <c r="J136" s="102"/>
    </row>
    <row r="137" spans="10:10">
      <c r="J137" s="102"/>
    </row>
    <row r="138" spans="10:10">
      <c r="J138" s="102"/>
    </row>
    <row r="139" spans="10:10">
      <c r="J139" s="102"/>
    </row>
    <row r="140" spans="10:10">
      <c r="J140" s="102"/>
    </row>
    <row r="141" spans="10:10">
      <c r="J141" s="102"/>
    </row>
    <row r="142" spans="10:10">
      <c r="J142" s="102"/>
    </row>
    <row r="143" spans="10:10">
      <c r="J143" s="102"/>
    </row>
    <row r="144" spans="10:10">
      <c r="J144" s="102"/>
    </row>
    <row r="145" spans="10:10">
      <c r="J145" s="102"/>
    </row>
    <row r="146" spans="10:10">
      <c r="J146" s="102"/>
    </row>
    <row r="147" spans="10:10">
      <c r="J147" s="102"/>
    </row>
    <row r="148" spans="10:10">
      <c r="J148" s="102"/>
    </row>
    <row r="149" spans="10:10">
      <c r="J149" s="102"/>
    </row>
    <row r="150" spans="10:10">
      <c r="J150" s="102"/>
    </row>
    <row r="151" spans="10:10">
      <c r="J151" s="102"/>
    </row>
    <row r="152" spans="10:10">
      <c r="J152" s="102"/>
    </row>
    <row r="153" spans="10:10">
      <c r="J153" s="102"/>
    </row>
    <row r="154" spans="10:10">
      <c r="J154" s="102"/>
    </row>
    <row r="155" spans="10:10">
      <c r="J155" s="102"/>
    </row>
    <row r="156" spans="10:10">
      <c r="J156" s="102"/>
    </row>
    <row r="157" spans="10:10">
      <c r="J157" s="102"/>
    </row>
    <row r="158" spans="10:10">
      <c r="J158" s="102"/>
    </row>
    <row r="159" spans="10:10">
      <c r="J159" s="102"/>
    </row>
    <row r="160" spans="10:10">
      <c r="J160" s="102"/>
    </row>
    <row r="161" spans="10:10">
      <c r="J161" s="102"/>
    </row>
    <row r="162" spans="10:10">
      <c r="J162" s="102"/>
    </row>
    <row r="163" spans="10:10">
      <c r="J163" s="102"/>
    </row>
    <row r="164" spans="10:10">
      <c r="J164" s="102"/>
    </row>
    <row r="165" spans="10:10">
      <c r="J165" s="102"/>
    </row>
    <row r="166" spans="10:10">
      <c r="J166" s="102"/>
    </row>
    <row r="167" spans="10:10">
      <c r="J167" s="102"/>
    </row>
    <row r="168" spans="10:10">
      <c r="J168" s="102"/>
    </row>
    <row r="169" spans="10:10">
      <c r="J169" s="102"/>
    </row>
    <row r="170" spans="10:10">
      <c r="J170" s="102"/>
    </row>
    <row r="171" spans="10:10">
      <c r="J171" s="102"/>
    </row>
    <row r="172" spans="10:10">
      <c r="J172" s="102"/>
    </row>
    <row r="173" spans="10:10">
      <c r="J173" s="102"/>
    </row>
    <row r="174" spans="10:10">
      <c r="J174" s="102"/>
    </row>
    <row r="175" spans="10:10">
      <c r="J175" s="102"/>
    </row>
    <row r="176" spans="10:10">
      <c r="J176" s="102"/>
    </row>
    <row r="177" spans="10:10">
      <c r="J177" s="102"/>
    </row>
    <row r="178" spans="10:10">
      <c r="J178" s="102"/>
    </row>
    <row r="179" spans="10:10">
      <c r="J179" s="102"/>
    </row>
    <row r="180" spans="10:10">
      <c r="J180" s="102"/>
    </row>
    <row r="181" spans="10:10">
      <c r="J181" s="102"/>
    </row>
    <row r="182" spans="10:10">
      <c r="J182" s="102"/>
    </row>
    <row r="183" spans="10:10">
      <c r="J183" s="102"/>
    </row>
    <row r="184" spans="10:10">
      <c r="J184" s="102"/>
    </row>
    <row r="185" spans="10:10">
      <c r="J185" s="102"/>
    </row>
    <row r="186" spans="10:10">
      <c r="J186" s="102"/>
    </row>
    <row r="187" spans="10:10">
      <c r="J187" s="102"/>
    </row>
    <row r="188" spans="10:10">
      <c r="J188" s="102"/>
    </row>
    <row r="189" spans="10:10">
      <c r="J189" s="102"/>
    </row>
    <row r="190" spans="10:10">
      <c r="J190" s="102"/>
    </row>
    <row r="191" spans="10:10">
      <c r="J191" s="102"/>
    </row>
    <row r="192" spans="10:10">
      <c r="J192" s="102"/>
    </row>
    <row r="193" spans="10:10">
      <c r="J193" s="102"/>
    </row>
    <row r="194" spans="10:10">
      <c r="J194" s="102"/>
    </row>
    <row r="195" spans="10:10">
      <c r="J195" s="102"/>
    </row>
    <row r="196" spans="10:10">
      <c r="J196" s="102"/>
    </row>
    <row r="197" spans="10:10">
      <c r="J197" s="102"/>
    </row>
    <row r="198" spans="10:10">
      <c r="J198" s="102"/>
    </row>
    <row r="199" spans="10:10">
      <c r="J199" s="102"/>
    </row>
    <row r="200" spans="10:10">
      <c r="J200" s="102"/>
    </row>
    <row r="201" spans="10:10">
      <c r="J201" s="102"/>
    </row>
    <row r="202" spans="10:10">
      <c r="J202" s="102"/>
    </row>
    <row r="203" spans="10:10">
      <c r="J203" s="102"/>
    </row>
    <row r="204" spans="10:10">
      <c r="J204" s="102"/>
    </row>
    <row r="205" spans="10:10">
      <c r="J205" s="102"/>
    </row>
    <row r="206" spans="10:10">
      <c r="J206" s="102"/>
    </row>
    <row r="207" spans="10:10">
      <c r="J207" s="102"/>
    </row>
    <row r="208" spans="10:10">
      <c r="J208" s="102"/>
    </row>
    <row r="209" spans="10:10">
      <c r="J209" s="102"/>
    </row>
    <row r="210" spans="10:10">
      <c r="J210" s="102"/>
    </row>
    <row r="211" spans="10:10">
      <c r="J211" s="102"/>
    </row>
    <row r="212" spans="10:10">
      <c r="J212" s="102"/>
    </row>
    <row r="213" spans="10:10">
      <c r="J213" s="102"/>
    </row>
    <row r="214" spans="10:10">
      <c r="J214" s="102"/>
    </row>
    <row r="215" spans="10:10">
      <c r="J215" s="102"/>
    </row>
    <row r="216" spans="10:10">
      <c r="J216" s="102"/>
    </row>
    <row r="217" spans="10:10">
      <c r="J217" s="102"/>
    </row>
    <row r="218" spans="10:10">
      <c r="J218" s="102"/>
    </row>
    <row r="219" spans="10:10">
      <c r="J219" s="102"/>
    </row>
    <row r="220" spans="10:10">
      <c r="J220" s="102"/>
    </row>
    <row r="221" spans="10:10">
      <c r="J221" s="102"/>
    </row>
    <row r="222" spans="10:10">
      <c r="J222" s="102"/>
    </row>
    <row r="223" spans="10:10">
      <c r="J223" s="102"/>
    </row>
    <row r="224" spans="10:10">
      <c r="J224" s="102"/>
    </row>
    <row r="225" spans="10:10">
      <c r="J225" s="102"/>
    </row>
    <row r="226" spans="10:10">
      <c r="J226" s="102"/>
    </row>
    <row r="227" spans="10:10">
      <c r="J227" s="102"/>
    </row>
    <row r="228" spans="10:10">
      <c r="J228" s="102"/>
    </row>
    <row r="229" spans="10:10">
      <c r="J229" s="102"/>
    </row>
    <row r="230" spans="10:10">
      <c r="J230" s="102"/>
    </row>
    <row r="231" spans="10:10">
      <c r="J231" s="102"/>
    </row>
    <row r="232" spans="10:10">
      <c r="J232" s="102"/>
    </row>
    <row r="233" spans="10:10">
      <c r="J233" s="102"/>
    </row>
    <row r="234" spans="10:10">
      <c r="J234" s="102"/>
    </row>
    <row r="235" spans="10:10">
      <c r="J235" s="102"/>
    </row>
    <row r="236" spans="10:10">
      <c r="J236" s="102"/>
    </row>
    <row r="237" spans="10:10">
      <c r="J237" s="102"/>
    </row>
    <row r="238" spans="10:10">
      <c r="J238" s="102"/>
    </row>
    <row r="239" spans="10:10">
      <c r="J239" s="102"/>
    </row>
    <row r="240" spans="10:10">
      <c r="J240" s="102"/>
    </row>
    <row r="241" spans="10:10">
      <c r="J241" s="102"/>
    </row>
    <row r="242" spans="10:10">
      <c r="J242" s="102"/>
    </row>
    <row r="243" spans="10:10">
      <c r="J243" s="102"/>
    </row>
    <row r="244" spans="10:10">
      <c r="J244" s="102"/>
    </row>
    <row r="245" spans="10:10">
      <c r="J245" s="102"/>
    </row>
    <row r="246" spans="10:10">
      <c r="J246" s="102"/>
    </row>
    <row r="247" spans="10:10">
      <c r="J247" s="102"/>
    </row>
    <row r="248" spans="10:10">
      <c r="J248" s="102"/>
    </row>
    <row r="249" spans="10:10">
      <c r="J249" s="102"/>
    </row>
    <row r="250" spans="10:10">
      <c r="J250" s="102"/>
    </row>
    <row r="251" spans="10:10">
      <c r="J251" s="102"/>
    </row>
    <row r="252" spans="10:10">
      <c r="J252" s="102"/>
    </row>
    <row r="253" spans="10:10">
      <c r="J253" s="102"/>
    </row>
    <row r="254" spans="10:10">
      <c r="J254" s="102"/>
    </row>
    <row r="255" spans="10:10">
      <c r="J255" s="102"/>
    </row>
    <row r="256" spans="10:10">
      <c r="J256" s="102"/>
    </row>
    <row r="257" spans="10:10">
      <c r="J257" s="102"/>
    </row>
    <row r="258" spans="10:10">
      <c r="J258" s="102"/>
    </row>
    <row r="259" spans="10:10">
      <c r="J259" s="102"/>
    </row>
    <row r="260" spans="10:10">
      <c r="J260" s="102"/>
    </row>
    <row r="261" spans="10:10">
      <c r="J261" s="102"/>
    </row>
    <row r="262" spans="10:10">
      <c r="J262" s="102"/>
    </row>
    <row r="263" spans="10:10">
      <c r="J263" s="102"/>
    </row>
    <row r="264" spans="10:10">
      <c r="J264" s="102"/>
    </row>
    <row r="265" spans="10:10">
      <c r="J265" s="102"/>
    </row>
    <row r="266" spans="10:10">
      <c r="J266" s="102"/>
    </row>
    <row r="267" spans="10:10">
      <c r="J267" s="102"/>
    </row>
    <row r="268" spans="10:10">
      <c r="J268" s="102"/>
    </row>
    <row r="269" spans="10:10">
      <c r="J269" s="102"/>
    </row>
    <row r="270" spans="10:10">
      <c r="J270" s="102"/>
    </row>
    <row r="271" spans="10:10">
      <c r="J271" s="102"/>
    </row>
    <row r="272" spans="10:10">
      <c r="J272" s="102"/>
    </row>
    <row r="273" spans="10:10">
      <c r="J273" s="102"/>
    </row>
    <row r="274" spans="10:10">
      <c r="J274" s="102"/>
    </row>
    <row r="275" spans="10:10">
      <c r="J275" s="102"/>
    </row>
    <row r="276" spans="10:10">
      <c r="J276" s="102"/>
    </row>
    <row r="277" spans="10:10">
      <c r="J277" s="102"/>
    </row>
    <row r="278" spans="10:10">
      <c r="J278" s="102"/>
    </row>
    <row r="279" spans="10:10">
      <c r="J279" s="102"/>
    </row>
    <row r="280" spans="10:10">
      <c r="J280" s="102"/>
    </row>
    <row r="281" spans="10:10">
      <c r="J281" s="102"/>
    </row>
    <row r="282" spans="10:10">
      <c r="J282" s="102"/>
    </row>
    <row r="283" spans="10:10">
      <c r="J283" s="102"/>
    </row>
    <row r="284" spans="10:10">
      <c r="J284" s="102"/>
    </row>
    <row r="285" spans="10:10">
      <c r="J285" s="102"/>
    </row>
    <row r="286" spans="10:10">
      <c r="J286" s="102"/>
    </row>
    <row r="287" spans="10:10">
      <c r="J287" s="102"/>
    </row>
    <row r="288" spans="10:10">
      <c r="J288" s="102"/>
    </row>
    <row r="289" spans="10:10">
      <c r="J289" s="102"/>
    </row>
    <row r="290" spans="10:10">
      <c r="J290" s="102"/>
    </row>
    <row r="291" spans="10:10">
      <c r="J291" s="102"/>
    </row>
    <row r="292" spans="10:10">
      <c r="J292" s="102"/>
    </row>
    <row r="293" spans="10:10">
      <c r="J293" s="102"/>
    </row>
    <row r="294" spans="10:10">
      <c r="J294" s="102"/>
    </row>
    <row r="295" spans="10:10">
      <c r="J295" s="102"/>
    </row>
    <row r="296" spans="10:10">
      <c r="J296" s="102"/>
    </row>
    <row r="297" spans="10:10">
      <c r="J297" s="102"/>
    </row>
    <row r="298" spans="10:10">
      <c r="J298" s="102"/>
    </row>
    <row r="299" spans="10:10">
      <c r="J299" s="102"/>
    </row>
    <row r="300" spans="10:10">
      <c r="J300" s="102"/>
    </row>
    <row r="301" spans="10:10">
      <c r="J301" s="102"/>
    </row>
    <row r="302" spans="10:10">
      <c r="J302" s="102"/>
    </row>
    <row r="303" spans="10:10">
      <c r="J303" s="102"/>
    </row>
    <row r="304" spans="10:10">
      <c r="J304" s="102"/>
    </row>
    <row r="305" spans="10:10">
      <c r="J305" s="102"/>
    </row>
    <row r="306" spans="10:10">
      <c r="J306" s="102"/>
    </row>
    <row r="307" spans="10:10">
      <c r="J307" s="102"/>
    </row>
    <row r="308" spans="10:10">
      <c r="J308" s="102"/>
    </row>
    <row r="309" spans="10:10">
      <c r="J309" s="102"/>
    </row>
    <row r="310" spans="10:10">
      <c r="J310" s="102"/>
    </row>
    <row r="311" spans="10:10">
      <c r="J311" s="102"/>
    </row>
    <row r="312" spans="10:10">
      <c r="J312" s="102"/>
    </row>
    <row r="313" spans="10:10">
      <c r="J313" s="102"/>
    </row>
    <row r="314" spans="10:10">
      <c r="J314" s="102"/>
    </row>
  </sheetData>
  <dataConsolidate/>
  <mergeCells count="2">
    <mergeCell ref="B11:B12"/>
    <mergeCell ref="C11:C12"/>
  </mergeCells>
  <phoneticPr fontId="2" type="noConversion"/>
  <pageMargins left="0.74803149606299202" right="0.74803149606299202" top="0.98425196850393704" bottom="0.98425196850393704" header="0.511811023622047" footer="0.511811023622047"/>
  <pageSetup paperSize="9" orientation="portrait" r:id="rId1"/>
  <headerFooter>
    <oddFooter>&amp;L&amp;8&amp;K000000© Legrafin                 &amp;D / &amp;T&amp;C&amp;8&amp;K000000Seite  &amp;P&amp;R&amp;8&amp;K000000&amp;F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'F0a Konfiguration'!$C$11:$C$20</xm:f>
          </x14:formula1>
          <xm:sqref>B16:C54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29</vt:i4>
      </vt:variant>
    </vt:vector>
  </HeadingPairs>
  <TitlesOfParts>
    <vt:vector size="50" baseType="lpstr">
      <vt:lpstr>Titelblatt</vt:lpstr>
      <vt:lpstr>F0a Konfiguration</vt:lpstr>
      <vt:lpstr>F0b Planungsparameter</vt:lpstr>
      <vt:lpstr>F1a Ausgangsbilanz</vt:lpstr>
      <vt:lpstr>F1b Budget Aktuell</vt:lpstr>
      <vt:lpstr>F1c Budget Neu</vt:lpstr>
      <vt:lpstr>F2 Weiterführung ER</vt:lpstr>
      <vt:lpstr>F3 Änderungen ER</vt:lpstr>
      <vt:lpstr>F3a Änderungen Verrechnungen</vt:lpstr>
      <vt:lpstr>F4 Investitionsplanung VV</vt:lpstr>
      <vt:lpstr>F4a Zusammenzug Investitionen</vt:lpstr>
      <vt:lpstr>F5a Zinsänderungen</vt:lpstr>
      <vt:lpstr>F5b DELTA ER</vt:lpstr>
      <vt:lpstr>F5c Prognose Bilanz</vt:lpstr>
      <vt:lpstr>F5 Prognose ER</vt:lpstr>
      <vt:lpstr>F6 Kennzahlen</vt:lpstr>
      <vt:lpstr>F7 Grafiken</vt:lpstr>
      <vt:lpstr>F7a Grafiken Verordnung</vt:lpstr>
      <vt:lpstr>F8 Spezialfinanzierung</vt:lpstr>
      <vt:lpstr>Listen für Dropdown</vt:lpstr>
      <vt:lpstr>Tabelle1</vt:lpstr>
      <vt:lpstr>Budget1</vt:lpstr>
      <vt:lpstr>Budget2</vt:lpstr>
      <vt:lpstr>'F0b Planungsparameter'!Druckbereich</vt:lpstr>
      <vt:lpstr>'F1b Budget Aktuell'!Druckbereich</vt:lpstr>
      <vt:lpstr>'F1c Budget Neu'!Druckbereich</vt:lpstr>
      <vt:lpstr>'F2 Weiterführung ER'!Druckbereich</vt:lpstr>
      <vt:lpstr>'F3 Änderungen ER'!Druckbereich</vt:lpstr>
      <vt:lpstr>'F3a Änderungen Verrechnungen'!Druckbereich</vt:lpstr>
      <vt:lpstr>'F4 Investitionsplanung VV'!Druckbereich</vt:lpstr>
      <vt:lpstr>'F4a Zusammenzug Investitionen'!Druckbereich</vt:lpstr>
      <vt:lpstr>'F5 Prognose ER'!Druckbereich</vt:lpstr>
      <vt:lpstr>'F5a Zinsänderungen'!Druckbereich</vt:lpstr>
      <vt:lpstr>'F5b DELTA ER'!Druckbereich</vt:lpstr>
      <vt:lpstr>'F5c Prognose Bilanz'!Druckbereich</vt:lpstr>
      <vt:lpstr>'F6 Kennzahlen'!Druckbereich</vt:lpstr>
      <vt:lpstr>'F7 Grafiken'!Druckbereich</vt:lpstr>
      <vt:lpstr>'F7a Grafiken Verordnung'!Druckbereich</vt:lpstr>
      <vt:lpstr>'F8 Spezialfinanzierung'!Druckbereich</vt:lpstr>
      <vt:lpstr>'F1a Ausgangsbilanz'!Drucktitel</vt:lpstr>
      <vt:lpstr>'F1b Budget Aktuell'!Drucktitel</vt:lpstr>
      <vt:lpstr>'F1c Budget Neu'!Drucktitel</vt:lpstr>
      <vt:lpstr>'F2 Weiterführung ER'!Drucktitel</vt:lpstr>
      <vt:lpstr>'F3 Änderungen ER'!Drucktitel</vt:lpstr>
      <vt:lpstr>'F4 Investitionsplanung VV'!Drucktitel</vt:lpstr>
      <vt:lpstr>'F5 Prognose ER'!Drucktitel</vt:lpstr>
      <vt:lpstr>'F5b DELTA ER'!Drucktitel</vt:lpstr>
      <vt:lpstr>Finz1</vt:lpstr>
      <vt:lpstr>Gemeinde</vt:lpstr>
      <vt:lpstr>Rech</vt:lpstr>
    </vt:vector>
  </TitlesOfParts>
  <Company>HSW Luzern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R322_04</dc:creator>
  <cp:lastModifiedBy>Beat Blum</cp:lastModifiedBy>
  <cp:lastPrinted>2021-09-10T11:30:36Z</cp:lastPrinted>
  <dcterms:created xsi:type="dcterms:W3CDTF">2004-09-24T09:25:31Z</dcterms:created>
  <dcterms:modified xsi:type="dcterms:W3CDTF">2021-09-10T11:34:51Z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C-GUID">
    <vt:lpwstr>38eacf5b-c12a-43c4-ba83-3673cf63eebd</vt:lpwstr>
  </property>
</Properties>
</file>